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20" windowWidth="20730" windowHeight="9000" activeTab="3"/>
  </bookViews>
  <sheets>
    <sheet name="INÍCIO NO DOMINGO" sheetId="1" r:id="rId1"/>
    <sheet name="INÍCIO NO DOMINGO CONTÍNUO" sheetId="7" r:id="rId2"/>
    <sheet name="INÍCIO NA 2ª FEIRA" sheetId="4" r:id="rId3"/>
    <sheet name="INÍCIO NA 2ª FEIRA CONTÍNUO" sheetId="6" r:id="rId4"/>
    <sheet name="DV-IDENTITY-0" sheetId="8" state="veryHidden" r:id="rId5"/>
  </sheets>
  <calcPr calcId="145621"/>
</workbook>
</file>

<file path=xl/calcChain.xml><?xml version="1.0" encoding="utf-8"?>
<calcChain xmlns="http://schemas.openxmlformats.org/spreadsheetml/2006/main">
  <c r="A4" i="8" l="1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CS4" i="8"/>
  <c r="CT4" i="8"/>
  <c r="CU4" i="8"/>
  <c r="CV4" i="8"/>
  <c r="CW4" i="8"/>
  <c r="CX4" i="8"/>
  <c r="CY4" i="8"/>
  <c r="CZ4" i="8"/>
  <c r="DA4" i="8"/>
  <c r="DB4" i="8"/>
  <c r="DC4" i="8"/>
  <c r="DD4" i="8"/>
  <c r="DE4" i="8"/>
  <c r="DF4" i="8"/>
  <c r="DG4" i="8"/>
  <c r="DH4" i="8"/>
  <c r="DI4" i="8"/>
  <c r="DJ4" i="8"/>
  <c r="DK4" i="8"/>
  <c r="DL4" i="8"/>
  <c r="DM4" i="8"/>
  <c r="DN4" i="8"/>
  <c r="DO4" i="8"/>
  <c r="DP4" i="8"/>
  <c r="DQ4" i="8"/>
  <c r="DR4" i="8"/>
  <c r="DS4" i="8"/>
  <c r="DT4" i="8"/>
  <c r="DU4" i="8"/>
  <c r="DV4" i="8"/>
  <c r="DW4" i="8"/>
  <c r="DX4" i="8"/>
  <c r="DY4" i="8"/>
  <c r="DZ4" i="8"/>
  <c r="EA4" i="8"/>
  <c r="EB4" i="8"/>
  <c r="EC4" i="8"/>
  <c r="ED4" i="8"/>
  <c r="EE4" i="8"/>
  <c r="EF4" i="8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CV3" i="8"/>
  <c r="CW3" i="8"/>
  <c r="CX3" i="8"/>
  <c r="CY3" i="8"/>
  <c r="CZ3" i="8"/>
  <c r="DA3" i="8"/>
  <c r="DB3" i="8"/>
  <c r="DC3" i="8"/>
  <c r="DD3" i="8"/>
  <c r="DE3" i="8"/>
  <c r="DF3" i="8"/>
  <c r="DG3" i="8"/>
  <c r="DH3" i="8"/>
  <c r="DI3" i="8"/>
  <c r="DJ3" i="8"/>
  <c r="DK3" i="8"/>
  <c r="DL3" i="8"/>
  <c r="DM3" i="8"/>
  <c r="DN3" i="8"/>
  <c r="DO3" i="8"/>
  <c r="DP3" i="8"/>
  <c r="DQ3" i="8"/>
  <c r="DR3" i="8"/>
  <c r="DS3" i="8"/>
  <c r="DT3" i="8"/>
  <c r="DU3" i="8"/>
  <c r="DV3" i="8"/>
  <c r="DW3" i="8"/>
  <c r="DX3" i="8"/>
  <c r="DY3" i="8"/>
  <c r="DZ3" i="8"/>
  <c r="EA3" i="8"/>
  <c r="EB3" i="8"/>
  <c r="EC3" i="8"/>
  <c r="ED3" i="8"/>
  <c r="EE3" i="8"/>
  <c r="EF3" i="8"/>
  <c r="EG3" i="8"/>
  <c r="EH3" i="8"/>
  <c r="EI3" i="8"/>
  <c r="EJ3" i="8"/>
  <c r="EK3" i="8"/>
  <c r="EL3" i="8"/>
  <c r="EM3" i="8"/>
  <c r="EN3" i="8"/>
  <c r="EO3" i="8"/>
  <c r="EP3" i="8"/>
  <c r="EQ3" i="8"/>
  <c r="ER3" i="8"/>
  <c r="ES3" i="8"/>
  <c r="ET3" i="8"/>
  <c r="EU3" i="8"/>
  <c r="EV3" i="8"/>
  <c r="EW3" i="8"/>
  <c r="EX3" i="8"/>
  <c r="EY3" i="8"/>
  <c r="EZ3" i="8"/>
  <c r="FA3" i="8"/>
  <c r="FB3" i="8"/>
  <c r="FC3" i="8"/>
  <c r="FD3" i="8"/>
  <c r="FE3" i="8"/>
  <c r="FF3" i="8"/>
  <c r="FG3" i="8"/>
  <c r="FH3" i="8"/>
  <c r="FI3" i="8"/>
  <c r="FJ3" i="8"/>
  <c r="FK3" i="8"/>
  <c r="FL3" i="8"/>
  <c r="FM3" i="8"/>
  <c r="FN3" i="8"/>
  <c r="FO3" i="8"/>
  <c r="FP3" i="8"/>
  <c r="FQ3" i="8"/>
  <c r="FR3" i="8"/>
  <c r="FS3" i="8"/>
  <c r="FT3" i="8"/>
  <c r="FU3" i="8"/>
  <c r="FV3" i="8"/>
  <c r="FW3" i="8"/>
  <c r="FX3" i="8"/>
  <c r="FY3" i="8"/>
  <c r="FZ3" i="8"/>
  <c r="GA3" i="8"/>
  <c r="GB3" i="8"/>
  <c r="GC3" i="8"/>
  <c r="GD3" i="8"/>
  <c r="GE3" i="8"/>
  <c r="GF3" i="8"/>
  <c r="GG3" i="8"/>
  <c r="GH3" i="8"/>
  <c r="GI3" i="8"/>
  <c r="GJ3" i="8"/>
  <c r="GK3" i="8"/>
  <c r="GL3" i="8"/>
  <c r="GM3" i="8"/>
  <c r="GN3" i="8"/>
  <c r="GO3" i="8"/>
  <c r="GP3" i="8"/>
  <c r="GQ3" i="8"/>
  <c r="GR3" i="8"/>
  <c r="GS3" i="8"/>
  <c r="GT3" i="8"/>
  <c r="GU3" i="8"/>
  <c r="GV3" i="8"/>
  <c r="GW3" i="8"/>
  <c r="GX3" i="8"/>
  <c r="GY3" i="8"/>
  <c r="GZ3" i="8"/>
  <c r="HA3" i="8"/>
  <c r="HB3" i="8"/>
  <c r="HC3" i="8"/>
  <c r="HD3" i="8"/>
  <c r="HE3" i="8"/>
  <c r="HF3" i="8"/>
  <c r="HG3" i="8"/>
  <c r="HH3" i="8"/>
  <c r="HI3" i="8"/>
  <c r="HJ3" i="8"/>
  <c r="HK3" i="8"/>
  <c r="HL3" i="8"/>
  <c r="HM3" i="8"/>
  <c r="HN3" i="8"/>
  <c r="HO3" i="8"/>
  <c r="HP3" i="8"/>
  <c r="HQ3" i="8"/>
  <c r="HR3" i="8"/>
  <c r="HS3" i="8"/>
  <c r="HT3" i="8"/>
  <c r="HU3" i="8"/>
  <c r="HV3" i="8"/>
  <c r="HW3" i="8"/>
  <c r="HX3" i="8"/>
  <c r="HY3" i="8"/>
  <c r="HZ3" i="8"/>
  <c r="IA3" i="8"/>
  <c r="IB3" i="8"/>
  <c r="IC3" i="8"/>
  <c r="ID3" i="8"/>
  <c r="IE3" i="8"/>
  <c r="IF3" i="8"/>
  <c r="IG3" i="8"/>
  <c r="IH3" i="8"/>
  <c r="II3" i="8"/>
  <c r="IJ3" i="8"/>
  <c r="IK3" i="8"/>
  <c r="IL3" i="8"/>
  <c r="IM3" i="8"/>
  <c r="IN3" i="8"/>
  <c r="IO3" i="8"/>
  <c r="IP3" i="8"/>
  <c r="IQ3" i="8"/>
  <c r="IR3" i="8"/>
  <c r="IS3" i="8"/>
  <c r="IT3" i="8"/>
  <c r="IU3" i="8"/>
  <c r="IV3" i="8"/>
  <c r="A2" i="8"/>
  <c r="B2" i="8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I2" i="8"/>
  <c r="BJ2" i="8"/>
  <c r="BK2" i="8"/>
  <c r="BL2" i="8"/>
  <c r="BM2" i="8"/>
  <c r="BN2" i="8"/>
  <c r="BO2" i="8"/>
  <c r="BP2" i="8"/>
  <c r="BQ2" i="8"/>
  <c r="BR2" i="8"/>
  <c r="BS2" i="8"/>
  <c r="BT2" i="8"/>
  <c r="BU2" i="8"/>
  <c r="BV2" i="8"/>
  <c r="BW2" i="8"/>
  <c r="BX2" i="8"/>
  <c r="BY2" i="8"/>
  <c r="BZ2" i="8"/>
  <c r="CA2" i="8"/>
  <c r="CB2" i="8"/>
  <c r="CC2" i="8"/>
  <c r="CD2" i="8"/>
  <c r="CE2" i="8"/>
  <c r="CF2" i="8"/>
  <c r="CG2" i="8"/>
  <c r="CH2" i="8"/>
  <c r="CI2" i="8"/>
  <c r="CJ2" i="8"/>
  <c r="CK2" i="8"/>
  <c r="CL2" i="8"/>
  <c r="CM2" i="8"/>
  <c r="CN2" i="8"/>
  <c r="CO2" i="8"/>
  <c r="CP2" i="8"/>
  <c r="CQ2" i="8"/>
  <c r="CR2" i="8"/>
  <c r="CS2" i="8"/>
  <c r="CT2" i="8"/>
  <c r="CU2" i="8"/>
  <c r="CV2" i="8"/>
  <c r="CW2" i="8"/>
  <c r="CX2" i="8"/>
  <c r="CY2" i="8"/>
  <c r="CZ2" i="8"/>
  <c r="DA2" i="8"/>
  <c r="DB2" i="8"/>
  <c r="DC2" i="8"/>
  <c r="DD2" i="8"/>
  <c r="DE2" i="8"/>
  <c r="DF2" i="8"/>
  <c r="DG2" i="8"/>
  <c r="DH2" i="8"/>
  <c r="DI2" i="8"/>
  <c r="DJ2" i="8"/>
  <c r="DK2" i="8"/>
  <c r="DL2" i="8"/>
  <c r="DM2" i="8"/>
  <c r="DN2" i="8"/>
  <c r="DO2" i="8"/>
  <c r="DP2" i="8"/>
  <c r="DQ2" i="8"/>
  <c r="DR2" i="8"/>
  <c r="DS2" i="8"/>
  <c r="DT2" i="8"/>
  <c r="DU2" i="8"/>
  <c r="DV2" i="8"/>
  <c r="DW2" i="8"/>
  <c r="DX2" i="8"/>
  <c r="DY2" i="8"/>
  <c r="DZ2" i="8"/>
  <c r="EA2" i="8"/>
  <c r="EB2" i="8"/>
  <c r="EC2" i="8"/>
  <c r="ED2" i="8"/>
  <c r="EE2" i="8"/>
  <c r="EF2" i="8"/>
  <c r="EG2" i="8"/>
  <c r="EH2" i="8"/>
  <c r="EI2" i="8"/>
  <c r="EJ2" i="8"/>
  <c r="EK2" i="8"/>
  <c r="EL2" i="8"/>
  <c r="EM2" i="8"/>
  <c r="EN2" i="8"/>
  <c r="EO2" i="8"/>
  <c r="EP2" i="8"/>
  <c r="EQ2" i="8"/>
  <c r="ER2" i="8"/>
  <c r="ES2" i="8"/>
  <c r="ET2" i="8"/>
  <c r="EU2" i="8"/>
  <c r="EV2" i="8"/>
  <c r="EW2" i="8"/>
  <c r="EX2" i="8"/>
  <c r="EY2" i="8"/>
  <c r="EZ2" i="8"/>
  <c r="FA2" i="8"/>
  <c r="FB2" i="8"/>
  <c r="FC2" i="8"/>
  <c r="FD2" i="8"/>
  <c r="FE2" i="8"/>
  <c r="FF2" i="8"/>
  <c r="FG2" i="8"/>
  <c r="FH2" i="8"/>
  <c r="FI2" i="8"/>
  <c r="FJ2" i="8"/>
  <c r="FK2" i="8"/>
  <c r="FL2" i="8"/>
  <c r="FM2" i="8"/>
  <c r="FN2" i="8"/>
  <c r="FO2" i="8"/>
  <c r="FP2" i="8"/>
  <c r="FQ2" i="8"/>
  <c r="FR2" i="8"/>
  <c r="FS2" i="8"/>
  <c r="FT2" i="8"/>
  <c r="FU2" i="8"/>
  <c r="FV2" i="8"/>
  <c r="FW2" i="8"/>
  <c r="FX2" i="8"/>
  <c r="FY2" i="8"/>
  <c r="FZ2" i="8"/>
  <c r="GA2" i="8"/>
  <c r="GB2" i="8"/>
  <c r="GC2" i="8"/>
  <c r="GD2" i="8"/>
  <c r="GE2" i="8"/>
  <c r="GF2" i="8"/>
  <c r="GG2" i="8"/>
  <c r="GH2" i="8"/>
  <c r="GI2" i="8"/>
  <c r="GJ2" i="8"/>
  <c r="GK2" i="8"/>
  <c r="GL2" i="8"/>
  <c r="GM2" i="8"/>
  <c r="GN2" i="8"/>
  <c r="GO2" i="8"/>
  <c r="GP2" i="8"/>
  <c r="GQ2" i="8"/>
  <c r="GR2" i="8"/>
  <c r="GS2" i="8"/>
  <c r="GT2" i="8"/>
  <c r="GU2" i="8"/>
  <c r="GV2" i="8"/>
  <c r="GW2" i="8"/>
  <c r="GX2" i="8"/>
  <c r="GY2" i="8"/>
  <c r="GZ2" i="8"/>
  <c r="HA2" i="8"/>
  <c r="HB2" i="8"/>
  <c r="HC2" i="8"/>
  <c r="HD2" i="8"/>
  <c r="HE2" i="8"/>
  <c r="HF2" i="8"/>
  <c r="HG2" i="8"/>
  <c r="HH2" i="8"/>
  <c r="HI2" i="8"/>
  <c r="HJ2" i="8"/>
  <c r="HK2" i="8"/>
  <c r="HL2" i="8"/>
  <c r="HM2" i="8"/>
  <c r="HN2" i="8"/>
  <c r="HO2" i="8"/>
  <c r="HP2" i="8"/>
  <c r="HQ2" i="8"/>
  <c r="HR2" i="8"/>
  <c r="HS2" i="8"/>
  <c r="HT2" i="8"/>
  <c r="HU2" i="8"/>
  <c r="HV2" i="8"/>
  <c r="HW2" i="8"/>
  <c r="HX2" i="8"/>
  <c r="HY2" i="8"/>
  <c r="HZ2" i="8"/>
  <c r="IA2" i="8"/>
  <c r="IB2" i="8"/>
  <c r="IC2" i="8"/>
  <c r="ID2" i="8"/>
  <c r="IE2" i="8"/>
  <c r="IF2" i="8"/>
  <c r="IG2" i="8"/>
  <c r="IH2" i="8"/>
  <c r="II2" i="8"/>
  <c r="IJ2" i="8"/>
  <c r="IK2" i="8"/>
  <c r="IL2" i="8"/>
  <c r="IM2" i="8"/>
  <c r="IN2" i="8"/>
  <c r="IO2" i="8"/>
  <c r="IP2" i="8"/>
  <c r="IQ2" i="8"/>
  <c r="IR2" i="8"/>
  <c r="IS2" i="8"/>
  <c r="IT2" i="8"/>
  <c r="IU2" i="8"/>
  <c r="IV2" i="8"/>
  <c r="A1" i="8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BZ1" i="8"/>
  <c r="CA1" i="8"/>
  <c r="CB1" i="8"/>
  <c r="CC1" i="8"/>
  <c r="CD1" i="8"/>
  <c r="CE1" i="8"/>
  <c r="CF1" i="8"/>
  <c r="CG1" i="8"/>
  <c r="CH1" i="8"/>
  <c r="CI1" i="8"/>
  <c r="CJ1" i="8"/>
  <c r="CK1" i="8"/>
  <c r="CL1" i="8"/>
  <c r="CM1" i="8"/>
  <c r="CN1" i="8"/>
  <c r="CO1" i="8"/>
  <c r="CP1" i="8"/>
  <c r="CQ1" i="8"/>
  <c r="CR1" i="8"/>
  <c r="CS1" i="8"/>
  <c r="CT1" i="8"/>
  <c r="CU1" i="8"/>
  <c r="CV1" i="8"/>
  <c r="CW1" i="8"/>
  <c r="CX1" i="8"/>
  <c r="CY1" i="8"/>
  <c r="CZ1" i="8"/>
  <c r="DA1" i="8"/>
  <c r="DB1" i="8"/>
  <c r="DC1" i="8"/>
  <c r="DD1" i="8"/>
  <c r="DE1" i="8"/>
  <c r="DF1" i="8"/>
  <c r="DG1" i="8"/>
  <c r="DH1" i="8"/>
  <c r="DI1" i="8"/>
  <c r="DJ1" i="8"/>
  <c r="DK1" i="8"/>
  <c r="DL1" i="8"/>
  <c r="DM1" i="8"/>
  <c r="DN1" i="8"/>
  <c r="DO1" i="8"/>
  <c r="DP1" i="8"/>
  <c r="DQ1" i="8"/>
  <c r="DR1" i="8"/>
  <c r="DS1" i="8"/>
  <c r="DT1" i="8"/>
  <c r="DU1" i="8"/>
  <c r="DV1" i="8"/>
  <c r="DW1" i="8"/>
  <c r="DX1" i="8"/>
  <c r="DY1" i="8"/>
  <c r="DZ1" i="8"/>
  <c r="EA1" i="8"/>
  <c r="EB1" i="8"/>
  <c r="EC1" i="8"/>
  <c r="ED1" i="8"/>
  <c r="EE1" i="8"/>
  <c r="EF1" i="8"/>
  <c r="EG1" i="8"/>
  <c r="EH1" i="8"/>
  <c r="EI1" i="8"/>
  <c r="EJ1" i="8"/>
  <c r="EK1" i="8"/>
  <c r="EL1" i="8"/>
  <c r="EM1" i="8"/>
  <c r="EN1" i="8"/>
  <c r="EO1" i="8"/>
  <c r="EP1" i="8"/>
  <c r="EQ1" i="8"/>
  <c r="ER1" i="8"/>
  <c r="ES1" i="8"/>
  <c r="ET1" i="8"/>
  <c r="EU1" i="8"/>
  <c r="EV1" i="8"/>
  <c r="EW1" i="8"/>
  <c r="EX1" i="8"/>
  <c r="EY1" i="8"/>
  <c r="EZ1" i="8"/>
  <c r="FA1" i="8"/>
  <c r="FB1" i="8"/>
  <c r="FC1" i="8"/>
  <c r="FD1" i="8"/>
  <c r="FE1" i="8"/>
  <c r="FF1" i="8"/>
  <c r="FG1" i="8"/>
  <c r="FH1" i="8"/>
  <c r="FI1" i="8"/>
  <c r="FJ1" i="8"/>
  <c r="FK1" i="8"/>
  <c r="FL1" i="8"/>
  <c r="FM1" i="8"/>
  <c r="FN1" i="8"/>
  <c r="FO1" i="8"/>
  <c r="FP1" i="8"/>
  <c r="FQ1" i="8"/>
  <c r="FR1" i="8"/>
  <c r="FS1" i="8"/>
  <c r="FT1" i="8"/>
  <c r="FU1" i="8"/>
  <c r="FV1" i="8"/>
  <c r="FW1" i="8"/>
  <c r="FX1" i="8"/>
  <c r="FY1" i="8"/>
  <c r="FZ1" i="8"/>
  <c r="GA1" i="8"/>
  <c r="GB1" i="8"/>
  <c r="GC1" i="8"/>
  <c r="GD1" i="8"/>
  <c r="GE1" i="8"/>
  <c r="GF1" i="8"/>
  <c r="GG1" i="8"/>
  <c r="GH1" i="8"/>
  <c r="GI1" i="8"/>
  <c r="GJ1" i="8"/>
  <c r="GK1" i="8"/>
  <c r="GL1" i="8"/>
  <c r="GM1" i="8"/>
  <c r="GN1" i="8"/>
  <c r="GO1" i="8"/>
  <c r="GP1" i="8"/>
  <c r="GQ1" i="8"/>
  <c r="GR1" i="8"/>
  <c r="GS1" i="8"/>
  <c r="GT1" i="8"/>
  <c r="GU1" i="8"/>
  <c r="GV1" i="8"/>
  <c r="GW1" i="8"/>
  <c r="GX1" i="8"/>
  <c r="GY1" i="8"/>
  <c r="GZ1" i="8"/>
  <c r="HA1" i="8"/>
  <c r="HB1" i="8"/>
  <c r="HC1" i="8"/>
  <c r="HD1" i="8"/>
  <c r="HE1" i="8"/>
  <c r="HF1" i="8"/>
  <c r="HG1" i="8"/>
  <c r="HH1" i="8"/>
  <c r="HI1" i="8"/>
  <c r="HJ1" i="8"/>
  <c r="HK1" i="8"/>
  <c r="HL1" i="8"/>
  <c r="HM1" i="8"/>
  <c r="HN1" i="8"/>
  <c r="HO1" i="8"/>
  <c r="HP1" i="8"/>
  <c r="HQ1" i="8"/>
  <c r="HR1" i="8"/>
  <c r="HS1" i="8"/>
  <c r="HT1" i="8"/>
  <c r="HU1" i="8"/>
  <c r="HV1" i="8"/>
  <c r="HW1" i="8"/>
  <c r="HX1" i="8"/>
  <c r="HY1" i="8"/>
  <c r="HZ1" i="8"/>
  <c r="IA1" i="8"/>
  <c r="IB1" i="8"/>
  <c r="IC1" i="8"/>
  <c r="ID1" i="8"/>
  <c r="IE1" i="8"/>
  <c r="IF1" i="8"/>
  <c r="IG1" i="8"/>
  <c r="IH1" i="8"/>
  <c r="II1" i="8"/>
  <c r="IJ1" i="8"/>
  <c r="IK1" i="8"/>
  <c r="IL1" i="8"/>
  <c r="IM1" i="8"/>
  <c r="IN1" i="8"/>
  <c r="IO1" i="8"/>
  <c r="IP1" i="8"/>
  <c r="IQ1" i="8"/>
  <c r="IR1" i="8"/>
  <c r="IS1" i="8"/>
  <c r="IT1" i="8"/>
  <c r="IU1" i="8"/>
  <c r="IV1" i="8"/>
  <c r="B6" i="7" a="1"/>
  <c r="B6" i="7" s="1"/>
  <c r="B3" i="7"/>
  <c r="B6" i="6" a="1"/>
  <c r="B3" i="6"/>
  <c r="B3" i="4"/>
  <c r="B6" i="4" s="1" a="1"/>
  <c r="B6" i="4" s="1"/>
  <c r="B3" i="1"/>
  <c r="B6" i="1" s="1" a="1"/>
  <c r="D6" i="1" s="1"/>
  <c r="F11" i="7" l="1"/>
  <c r="B11" i="7"/>
  <c r="E10" i="7"/>
  <c r="H9" i="7"/>
  <c r="D9" i="7"/>
  <c r="G8" i="7"/>
  <c r="C8" i="7"/>
  <c r="F7" i="7"/>
  <c r="B7" i="7"/>
  <c r="E6" i="7"/>
  <c r="E11" i="7"/>
  <c r="H10" i="7"/>
  <c r="D10" i="7"/>
  <c r="G9" i="7"/>
  <c r="C9" i="7"/>
  <c r="F8" i="7"/>
  <c r="B8" i="7"/>
  <c r="E7" i="7"/>
  <c r="H6" i="7"/>
  <c r="D6" i="7"/>
  <c r="H11" i="7"/>
  <c r="D11" i="7"/>
  <c r="G10" i="7"/>
  <c r="C10" i="7"/>
  <c r="F9" i="7"/>
  <c r="B9" i="7"/>
  <c r="E8" i="7"/>
  <c r="H7" i="7"/>
  <c r="D7" i="7"/>
  <c r="G6" i="7"/>
  <c r="C6" i="7"/>
  <c r="G11" i="7"/>
  <c r="C11" i="7"/>
  <c r="F10" i="7"/>
  <c r="B10" i="7"/>
  <c r="E9" i="7"/>
  <c r="H8" i="7"/>
  <c r="D8" i="7"/>
  <c r="G7" i="7"/>
  <c r="C7" i="7"/>
  <c r="F6" i="7"/>
  <c r="D11" i="1"/>
  <c r="G10" i="1"/>
  <c r="C10" i="1"/>
  <c r="F9" i="1"/>
  <c r="B9" i="1"/>
  <c r="E8" i="1"/>
  <c r="H7" i="1"/>
  <c r="D7" i="1"/>
  <c r="G6" i="1"/>
  <c r="C6" i="1"/>
  <c r="G11" i="1"/>
  <c r="C11" i="1"/>
  <c r="F10" i="1"/>
  <c r="B10" i="1"/>
  <c r="E9" i="1"/>
  <c r="H8" i="1"/>
  <c r="D8" i="1"/>
  <c r="G7" i="1"/>
  <c r="C7" i="1"/>
  <c r="F6" i="1"/>
  <c r="B6" i="1"/>
  <c r="F11" i="1"/>
  <c r="B11" i="1"/>
  <c r="E10" i="1"/>
  <c r="H9" i="1"/>
  <c r="D9" i="1"/>
  <c r="G8" i="1"/>
  <c r="C8" i="1"/>
  <c r="F7" i="1"/>
  <c r="B7" i="1"/>
  <c r="E6" i="1"/>
  <c r="H11" i="1"/>
  <c r="E11" i="1"/>
  <c r="H10" i="1"/>
  <c r="D10" i="1"/>
  <c r="G9" i="1"/>
  <c r="C9" i="1"/>
  <c r="F8" i="1"/>
  <c r="B8" i="1"/>
  <c r="E7" i="1"/>
  <c r="H6" i="1"/>
  <c r="F11" i="4"/>
  <c r="B11" i="4"/>
  <c r="E10" i="4"/>
  <c r="H9" i="4"/>
  <c r="D9" i="4"/>
  <c r="G8" i="4"/>
  <c r="C8" i="4"/>
  <c r="F7" i="4"/>
  <c r="B7" i="4"/>
  <c r="E6" i="4"/>
  <c r="E11" i="4"/>
  <c r="H10" i="4"/>
  <c r="D10" i="4"/>
  <c r="G9" i="4"/>
  <c r="C9" i="4"/>
  <c r="F8" i="4"/>
  <c r="B8" i="4"/>
  <c r="E7" i="4"/>
  <c r="H6" i="4"/>
  <c r="D6" i="4"/>
  <c r="H11" i="4"/>
  <c r="D11" i="4"/>
  <c r="G10" i="4"/>
  <c r="C10" i="4"/>
  <c r="F9" i="4"/>
  <c r="B9" i="4"/>
  <c r="E8" i="4"/>
  <c r="H7" i="4"/>
  <c r="D7" i="4"/>
  <c r="G6" i="4"/>
  <c r="C6" i="4"/>
  <c r="G11" i="4"/>
  <c r="C11" i="4"/>
  <c r="F10" i="4"/>
  <c r="B10" i="4"/>
  <c r="E9" i="4"/>
  <c r="H8" i="4"/>
  <c r="D8" i="4"/>
  <c r="G7" i="4"/>
  <c r="C7" i="4"/>
  <c r="F6" i="4"/>
  <c r="B6" i="6"/>
  <c r="F11" i="6"/>
  <c r="B11" i="6"/>
  <c r="E10" i="6"/>
  <c r="H9" i="6"/>
  <c r="D9" i="6"/>
  <c r="G8" i="6"/>
  <c r="C8" i="6"/>
  <c r="F7" i="6"/>
  <c r="B7" i="6"/>
  <c r="E6" i="6"/>
  <c r="E11" i="6"/>
  <c r="H10" i="6"/>
  <c r="D10" i="6"/>
  <c r="G9" i="6"/>
  <c r="C9" i="6"/>
  <c r="F8" i="6"/>
  <c r="B8" i="6"/>
  <c r="E7" i="6"/>
  <c r="H6" i="6"/>
  <c r="D6" i="6"/>
  <c r="H11" i="6"/>
  <c r="D11" i="6"/>
  <c r="G10" i="6"/>
  <c r="C10" i="6"/>
  <c r="F9" i="6"/>
  <c r="B9" i="6"/>
  <c r="E8" i="6"/>
  <c r="H7" i="6"/>
  <c r="D7" i="6"/>
  <c r="G6" i="6"/>
  <c r="C6" i="6"/>
  <c r="G11" i="6"/>
  <c r="C11" i="6"/>
  <c r="F10" i="6"/>
  <c r="B10" i="6"/>
  <c r="E9" i="6"/>
  <c r="H8" i="6"/>
  <c r="D8" i="6"/>
  <c r="G7" i="6"/>
  <c r="C7" i="6"/>
  <c r="F6" i="6"/>
</calcChain>
</file>

<file path=xl/sharedStrings.xml><?xml version="1.0" encoding="utf-8"?>
<sst xmlns="http://schemas.openxmlformats.org/spreadsheetml/2006/main" count="81" uniqueCount="17">
  <si>
    <t>D</t>
  </si>
  <si>
    <t>S</t>
  </si>
  <si>
    <t>T</t>
  </si>
  <si>
    <t>Q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</si>
  <si>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</si>
  <si>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</si>
  <si>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</si>
  <si>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</si>
  <si>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</si>
  <si>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</si>
  <si>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</si>
  <si>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</si>
  <si>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</si>
  <si>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</si>
  <si>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</si>
  <si>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</si>
  <si>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AAAAAD21r4g=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</si>
</sst>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"/>
    <numFmt numFmtId="165" formatCode="d"/>
    <numFmt numFmtId="166" formatCode="&quot;Selecione o ano: &quot;\ #,###"/>
    <numFmt numFmtId="167" formatCode="&quot;Selecione o Mês: &quot;@"/>
  </numFmts>
  <fonts count="10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b/>
      <sz val="10"/>
      <color rgb="FF0000FF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sz val="10"/>
      <color rgb="FF0000FF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name val="Trebuchet MS"/>
      <family val="2"/>
    </font>
    <font>
      <b/>
      <sz val="12"/>
      <color theme="4" tint="-0.499984740745262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1"/>
      </patternFill>
    </fill>
    <fill>
      <patternFill patternType="solid">
        <fgColor theme="6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77111117893"/>
      </right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4659260841701"/>
      </left>
      <right style="thin">
        <color theme="6" tint="-0.249977111117893"/>
      </right>
      <top style="hair">
        <color theme="6" tint="-0.24994659260841701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thin">
        <color theme="6" tint="-0.249977111117893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77111117893"/>
      </bottom>
      <diagonal/>
    </border>
    <border>
      <left/>
      <right style="thin">
        <color theme="6" tint="-0.24994659260841701"/>
      </right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77111117893"/>
      </right>
      <top/>
      <bottom style="hair">
        <color theme="6" tint="-0.24994659260841701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4659260841701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165" fontId="3" fillId="4" borderId="7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6" fillId="8" borderId="0" xfId="0" applyFont="1" applyFill="1"/>
    <xf numFmtId="0" fontId="6" fillId="8" borderId="2" xfId="0" applyFont="1" applyFill="1" applyBorder="1"/>
    <xf numFmtId="0" fontId="6" fillId="0" borderId="0" xfId="0" applyFont="1"/>
    <xf numFmtId="0" fontId="6" fillId="8" borderId="4" xfId="0" applyFont="1" applyFill="1" applyBorder="1"/>
    <xf numFmtId="0" fontId="6" fillId="8" borderId="0" xfId="0" applyNumberFormat="1" applyFont="1" applyFill="1"/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4" fontId="8" fillId="7" borderId="0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66" fontId="7" fillId="6" borderId="14" xfId="0" applyNumberFormat="1" applyFont="1" applyFill="1" applyBorder="1" applyAlignment="1">
      <alignment horizontal="center"/>
    </xf>
    <xf numFmtId="166" fontId="7" fillId="6" borderId="15" xfId="0" applyNumberFormat="1" applyFont="1" applyFill="1" applyBorder="1" applyAlignment="1">
      <alignment horizontal="center"/>
    </xf>
    <xf numFmtId="166" fontId="7" fillId="6" borderId="16" xfId="0" applyNumberFormat="1" applyFont="1" applyFill="1" applyBorder="1" applyAlignment="1">
      <alignment horizontal="center"/>
    </xf>
    <xf numFmtId="167" fontId="9" fillId="7" borderId="12" xfId="0" applyNumberFormat="1" applyFont="1" applyFill="1" applyBorder="1" applyAlignment="1">
      <alignment horizontal="center" vertical="center"/>
    </xf>
    <xf numFmtId="167" fontId="9" fillId="7" borderId="2" xfId="0" applyNumberFormat="1" applyFont="1" applyFill="1" applyBorder="1" applyAlignment="1">
      <alignment horizontal="center" vertical="center"/>
    </xf>
    <xf numFmtId="167" fontId="9" fillId="7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 tint="-0.14996795556505021"/>
      </font>
    </dxf>
    <dxf>
      <font>
        <b/>
        <i val="0"/>
        <color rgb="FFFF0000"/>
      </font>
      <fill>
        <patternFill>
          <fgColor rgb="FFFFFF00"/>
          <bgColor rgb="FFFFFF00"/>
        </patternFill>
      </fill>
    </dxf>
    <dxf>
      <font>
        <b/>
        <i val="0"/>
        <color rgb="FFFF0000"/>
      </font>
      <fill>
        <patternFill>
          <fgColor rgb="FFFFFF00"/>
          <bgColor rgb="FFFFFF00"/>
        </patternFill>
      </fill>
    </dxf>
    <dxf>
      <font>
        <color theme="0" tint="-0.14996795556505021"/>
      </font>
    </dxf>
    <dxf>
      <font>
        <b/>
        <i val="0"/>
        <color rgb="FFFF0000"/>
      </font>
      <fill>
        <patternFill>
          <fgColor rgb="FFFFFF00"/>
          <bgColor rgb="FFFFFF00"/>
        </patternFill>
      </fill>
    </dxf>
    <dxf>
      <font>
        <b/>
        <i val="0"/>
        <color rgb="FFFF0000"/>
      </font>
      <fill>
        <patternFill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16"/>
  <sheetViews>
    <sheetView showGridLines="0" showRowColHeaders="0" zoomScale="160" zoomScaleNormal="160" workbookViewId="0">
      <selection activeCell="B2" sqref="B2:H2"/>
    </sheetView>
  </sheetViews>
  <sheetFormatPr defaultColWidth="0" defaultRowHeight="16.5" zeroHeight="1" x14ac:dyDescent="0.3"/>
  <cols>
    <col min="1" max="1" width="2.42578125" style="19" customWidth="1"/>
    <col min="2" max="8" width="5.7109375" style="19" customWidth="1"/>
    <col min="9" max="9" width="2.42578125" style="19" customWidth="1"/>
    <col min="10" max="15" width="0" style="19" hidden="1" customWidth="1"/>
    <col min="16" max="16384" width="8.85546875" style="19" hidden="1"/>
  </cols>
  <sheetData>
    <row r="1" spans="1:11" ht="12" customHeight="1" x14ac:dyDescent="0.3">
      <c r="A1" s="17"/>
      <c r="B1" s="18"/>
      <c r="C1" s="18"/>
      <c r="D1" s="18"/>
      <c r="E1" s="18"/>
      <c r="F1" s="18"/>
      <c r="G1" s="18"/>
      <c r="H1" s="18"/>
      <c r="I1" s="17"/>
    </row>
    <row r="2" spans="1:11" ht="18" x14ac:dyDescent="0.35">
      <c r="A2" s="20"/>
      <c r="B2" s="33">
        <v>2012</v>
      </c>
      <c r="C2" s="34"/>
      <c r="D2" s="34"/>
      <c r="E2" s="34"/>
      <c r="F2" s="34"/>
      <c r="G2" s="34"/>
      <c r="H2" s="35"/>
      <c r="I2" s="17"/>
      <c r="J2" s="19" t="s">
        <v>4</v>
      </c>
      <c r="K2" s="19">
        <v>1</v>
      </c>
    </row>
    <row r="3" spans="1:11" ht="14.45" hidden="1" x14ac:dyDescent="0.3">
      <c r="A3" s="20"/>
      <c r="B3" s="31">
        <f>DATE(B2,VLOOKUP(B4,$J$2:$K$13,2,FALSE),1)</f>
        <v>40940</v>
      </c>
      <c r="C3" s="31"/>
      <c r="D3" s="31"/>
      <c r="E3" s="31"/>
      <c r="F3" s="31"/>
      <c r="G3" s="31"/>
      <c r="H3" s="32"/>
      <c r="I3" s="17"/>
      <c r="J3" s="19" t="s">
        <v>5</v>
      </c>
      <c r="K3" s="19">
        <v>2</v>
      </c>
    </row>
    <row r="4" spans="1:11" ht="18" x14ac:dyDescent="0.3">
      <c r="A4" s="20"/>
      <c r="B4" s="36" t="s">
        <v>5</v>
      </c>
      <c r="C4" s="37"/>
      <c r="D4" s="37"/>
      <c r="E4" s="37"/>
      <c r="F4" s="37"/>
      <c r="G4" s="37"/>
      <c r="H4" s="38"/>
      <c r="I4" s="21"/>
      <c r="J4" s="19" t="s">
        <v>6</v>
      </c>
      <c r="K4" s="19">
        <v>3</v>
      </c>
    </row>
    <row r="5" spans="1:11" ht="14.45" x14ac:dyDescent="0.3">
      <c r="A5" s="20"/>
      <c r="B5" s="14" t="s">
        <v>0</v>
      </c>
      <c r="C5" s="15" t="s">
        <v>1</v>
      </c>
      <c r="D5" s="15" t="s">
        <v>2</v>
      </c>
      <c r="E5" s="15" t="s">
        <v>3</v>
      </c>
      <c r="F5" s="15" t="s">
        <v>3</v>
      </c>
      <c r="G5" s="15" t="s">
        <v>1</v>
      </c>
      <c r="H5" s="16" t="s">
        <v>1</v>
      </c>
      <c r="I5" s="17"/>
      <c r="J5" s="19" t="s">
        <v>7</v>
      </c>
      <c r="K5" s="19">
        <v>4</v>
      </c>
    </row>
    <row r="6" spans="1:11" ht="14.45" x14ac:dyDescent="0.3">
      <c r="A6" s="20"/>
      <c r="B6" s="9" t="str">
        <f t="array" ref="B6:H11">IF(MONTH(DATE($B$2,MONTH(B3),1))&lt;&gt;MONTH(DATE($B$2,MONTH(B3),1)-(WEEKDAY(DATE($B$2,MONTH(B3),1))-1)+{0;1;2;3;4;5}*7+{1,2,3,4,5,6,7}-1),"",DATE($B$2,MONTH(B3),1)-(WEEKDAY(DATE($B$2,MONTH(B3),1))-1)+{0;1;2;3;4;5}*7+{1,2,3,4,5,6,7}-1)</f>
        <v/>
      </c>
      <c r="C6" s="10" t="str">
        <v/>
      </c>
      <c r="D6" s="10" t="str">
        <v/>
      </c>
      <c r="E6" s="10">
        <v>40940</v>
      </c>
      <c r="F6" s="11">
        <v>40941</v>
      </c>
      <c r="G6" s="12">
        <v>40942</v>
      </c>
      <c r="H6" s="13">
        <v>40943</v>
      </c>
      <c r="I6" s="17"/>
      <c r="J6" s="19" t="s">
        <v>8</v>
      </c>
      <c r="K6" s="19">
        <v>5</v>
      </c>
    </row>
    <row r="7" spans="1:11" ht="14.45" x14ac:dyDescent="0.3">
      <c r="A7" s="20"/>
      <c r="B7" s="1">
        <v>40944</v>
      </c>
      <c r="C7" s="2">
        <v>40945</v>
      </c>
      <c r="D7" s="2">
        <v>40946</v>
      </c>
      <c r="E7" s="2">
        <v>40947</v>
      </c>
      <c r="F7" s="2">
        <v>40948</v>
      </c>
      <c r="G7" s="3">
        <v>40949</v>
      </c>
      <c r="H7" s="4">
        <v>40950</v>
      </c>
      <c r="I7" s="17"/>
      <c r="J7" s="19" t="s">
        <v>9</v>
      </c>
      <c r="K7" s="19">
        <v>6</v>
      </c>
    </row>
    <row r="8" spans="1:11" ht="14.45" x14ac:dyDescent="0.3">
      <c r="A8" s="20"/>
      <c r="B8" s="1">
        <v>40951</v>
      </c>
      <c r="C8" s="2">
        <v>40952</v>
      </c>
      <c r="D8" s="2">
        <v>40953</v>
      </c>
      <c r="E8" s="2">
        <v>40954</v>
      </c>
      <c r="F8" s="2">
        <v>40955</v>
      </c>
      <c r="G8" s="3">
        <v>40956</v>
      </c>
      <c r="H8" s="4">
        <v>40957</v>
      </c>
      <c r="I8" s="17"/>
      <c r="J8" s="19" t="s">
        <v>10</v>
      </c>
      <c r="K8" s="19">
        <v>7</v>
      </c>
    </row>
    <row r="9" spans="1:11" ht="14.45" x14ac:dyDescent="0.3">
      <c r="A9" s="20"/>
      <c r="B9" s="1">
        <v>40958</v>
      </c>
      <c r="C9" s="2">
        <v>40959</v>
      </c>
      <c r="D9" s="2">
        <v>40960</v>
      </c>
      <c r="E9" s="2">
        <v>40961</v>
      </c>
      <c r="F9" s="2">
        <v>40962</v>
      </c>
      <c r="G9" s="3">
        <v>40963</v>
      </c>
      <c r="H9" s="4">
        <v>40964</v>
      </c>
      <c r="I9" s="17"/>
      <c r="J9" s="19" t="s">
        <v>11</v>
      </c>
      <c r="K9" s="19">
        <v>8</v>
      </c>
    </row>
    <row r="10" spans="1:11" ht="14.45" x14ac:dyDescent="0.3">
      <c r="A10" s="20"/>
      <c r="B10" s="1">
        <v>40965</v>
      </c>
      <c r="C10" s="2">
        <v>40966</v>
      </c>
      <c r="D10" s="2">
        <v>40967</v>
      </c>
      <c r="E10" s="2">
        <v>40968</v>
      </c>
      <c r="F10" s="2" t="str">
        <v/>
      </c>
      <c r="G10" s="3" t="str">
        <v/>
      </c>
      <c r="H10" s="4" t="str">
        <v/>
      </c>
      <c r="I10" s="17"/>
      <c r="J10" s="19" t="s">
        <v>12</v>
      </c>
      <c r="K10" s="19">
        <v>9</v>
      </c>
    </row>
    <row r="11" spans="1:11" ht="14.45" x14ac:dyDescent="0.3">
      <c r="A11" s="20"/>
      <c r="B11" s="5" t="str">
        <v/>
      </c>
      <c r="C11" s="6" t="str">
        <v/>
      </c>
      <c r="D11" s="6" t="str">
        <v/>
      </c>
      <c r="E11" s="6" t="str">
        <v/>
      </c>
      <c r="F11" s="6" t="str">
        <v/>
      </c>
      <c r="G11" s="7" t="str">
        <v/>
      </c>
      <c r="H11" s="8" t="str">
        <v/>
      </c>
      <c r="I11" s="17"/>
      <c r="J11" s="19" t="s">
        <v>13</v>
      </c>
      <c r="K11" s="19">
        <v>10</v>
      </c>
    </row>
    <row r="12" spans="1:11" s="17" customFormat="1" ht="12" customHeight="1" x14ac:dyDescent="0.3">
      <c r="J12" s="17" t="s">
        <v>14</v>
      </c>
      <c r="K12" s="17">
        <v>11</v>
      </c>
    </row>
    <row r="13" spans="1:11" ht="14.45" hidden="1" x14ac:dyDescent="0.3">
      <c r="J13" s="19" t="s">
        <v>15</v>
      </c>
      <c r="K13" s="19">
        <v>12</v>
      </c>
    </row>
    <row r="14" spans="1:11" ht="14.45" hidden="1" x14ac:dyDescent="0.3"/>
    <row r="15" spans="1:11" ht="14.45" hidden="1" x14ac:dyDescent="0.3"/>
    <row r="16" spans="1:11" ht="14.45" hidden="1" x14ac:dyDescent="0.3"/>
  </sheetData>
  <mergeCells count="3">
    <mergeCell ref="B3:H3"/>
    <mergeCell ref="B2:H2"/>
    <mergeCell ref="B4:H4"/>
  </mergeCells>
  <conditionalFormatting sqref="B6:H11">
    <cfRule type="expression" dxfId="5" priority="1" stopIfTrue="1">
      <formula>VLOOKUP(B6,feriados,1,FALSE)</formula>
    </cfRule>
  </conditionalFormatting>
  <dataValidations count="2">
    <dataValidation type="list" allowBlank="1" showInputMessage="1" showErrorMessage="1" sqref="B2:H2">
      <formula1>"2000,2001,2002,2003,2004,2005,2006,2007,2008,2009,2010,2011,2012,2013,2014,2015,2016,2017,2018,2019,2020"</formula1>
    </dataValidation>
    <dataValidation type="list" allowBlank="1" showInputMessage="1" showErrorMessage="1" sqref="B4:H4">
      <formula1>"Janeiro,Fevereiro,Março,Abril,Maio,Junho,Julho,Agosto,Setembro,Outubro,Novembro,Dezembro"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O16"/>
  <sheetViews>
    <sheetView showGridLines="0" showRowColHeaders="0" zoomScale="160" zoomScaleNormal="160" workbookViewId="0">
      <selection activeCell="B2" sqref="B2:H2"/>
    </sheetView>
  </sheetViews>
  <sheetFormatPr defaultColWidth="0" defaultRowHeight="14.45" customHeight="1" zeroHeight="1" x14ac:dyDescent="0.3"/>
  <cols>
    <col min="1" max="1" width="2.42578125" style="19" customWidth="1"/>
    <col min="2" max="8" width="5.7109375" style="19" customWidth="1"/>
    <col min="9" max="9" width="2.42578125" style="19" customWidth="1"/>
    <col min="10" max="15" width="0" style="19" hidden="1" customWidth="1"/>
    <col min="16" max="16384" width="8.85546875" style="19" hidden="1"/>
  </cols>
  <sheetData>
    <row r="1" spans="1:11" ht="12" customHeight="1" x14ac:dyDescent="0.3">
      <c r="A1" s="17"/>
      <c r="B1" s="18"/>
      <c r="C1" s="18"/>
      <c r="D1" s="18"/>
      <c r="E1" s="18"/>
      <c r="F1" s="18"/>
      <c r="G1" s="18"/>
      <c r="H1" s="18"/>
      <c r="I1" s="17"/>
    </row>
    <row r="2" spans="1:11" ht="18" x14ac:dyDescent="0.35">
      <c r="A2" s="20"/>
      <c r="B2" s="33">
        <v>2012</v>
      </c>
      <c r="C2" s="34"/>
      <c r="D2" s="34"/>
      <c r="E2" s="34"/>
      <c r="F2" s="34"/>
      <c r="G2" s="34"/>
      <c r="H2" s="35"/>
      <c r="I2" s="17"/>
      <c r="J2" s="19" t="s">
        <v>4</v>
      </c>
      <c r="K2" s="19">
        <v>1</v>
      </c>
    </row>
    <row r="3" spans="1:11" hidden="1" x14ac:dyDescent="0.3">
      <c r="A3" s="20"/>
      <c r="B3" s="31">
        <f>DATE(B2,VLOOKUP(B4,$J$2:$K$13,2,FALSE),1)</f>
        <v>40940</v>
      </c>
      <c r="C3" s="31"/>
      <c r="D3" s="31"/>
      <c r="E3" s="31"/>
      <c r="F3" s="31"/>
      <c r="G3" s="31"/>
      <c r="H3" s="32"/>
      <c r="I3" s="17"/>
      <c r="J3" s="19" t="s">
        <v>5</v>
      </c>
      <c r="K3" s="19">
        <v>2</v>
      </c>
    </row>
    <row r="4" spans="1:11" ht="18" x14ac:dyDescent="0.3">
      <c r="A4" s="20"/>
      <c r="B4" s="36" t="s">
        <v>5</v>
      </c>
      <c r="C4" s="37"/>
      <c r="D4" s="37"/>
      <c r="E4" s="37"/>
      <c r="F4" s="37"/>
      <c r="G4" s="37"/>
      <c r="H4" s="38"/>
      <c r="I4" s="21"/>
      <c r="J4" s="19" t="s">
        <v>6</v>
      </c>
      <c r="K4" s="19">
        <v>3</v>
      </c>
    </row>
    <row r="5" spans="1:11" x14ac:dyDescent="0.3">
      <c r="A5" s="20"/>
      <c r="B5" s="14" t="s">
        <v>0</v>
      </c>
      <c r="C5" s="15" t="s">
        <v>1</v>
      </c>
      <c r="D5" s="15" t="s">
        <v>2</v>
      </c>
      <c r="E5" s="15" t="s">
        <v>3</v>
      </c>
      <c r="F5" s="15" t="s">
        <v>3</v>
      </c>
      <c r="G5" s="15" t="s">
        <v>1</v>
      </c>
      <c r="H5" s="16" t="s">
        <v>1</v>
      </c>
      <c r="I5" s="17"/>
      <c r="J5" s="19" t="s">
        <v>7</v>
      </c>
      <c r="K5" s="19">
        <v>4</v>
      </c>
    </row>
    <row r="6" spans="1:11" x14ac:dyDescent="0.3">
      <c r="A6" s="20"/>
      <c r="B6" s="9">
        <f t="array" ref="B6:H11">DATE($B$2,MONTH(B3),1)-(WEEKDAY(DATE($B$2,MONTH(B3),1))-1)+{0;1;2;3;4;5}*7+{1,2,3,4,5,6,7}-1</f>
        <v>40937</v>
      </c>
      <c r="C6" s="10">
        <v>40938</v>
      </c>
      <c r="D6" s="10">
        <v>40939</v>
      </c>
      <c r="E6" s="10">
        <v>40940</v>
      </c>
      <c r="F6" s="11">
        <v>40941</v>
      </c>
      <c r="G6" s="12">
        <v>40942</v>
      </c>
      <c r="H6" s="13">
        <v>40943</v>
      </c>
      <c r="I6" s="17"/>
      <c r="J6" s="19" t="s">
        <v>8</v>
      </c>
      <c r="K6" s="19">
        <v>5</v>
      </c>
    </row>
    <row r="7" spans="1:11" x14ac:dyDescent="0.3">
      <c r="A7" s="20"/>
      <c r="B7" s="1">
        <v>40944</v>
      </c>
      <c r="C7" s="2">
        <v>40945</v>
      </c>
      <c r="D7" s="2">
        <v>40946</v>
      </c>
      <c r="E7" s="2">
        <v>40947</v>
      </c>
      <c r="F7" s="2">
        <v>40948</v>
      </c>
      <c r="G7" s="3">
        <v>40949</v>
      </c>
      <c r="H7" s="4">
        <v>40950</v>
      </c>
      <c r="I7" s="17"/>
      <c r="J7" s="19" t="s">
        <v>9</v>
      </c>
      <c r="K7" s="19">
        <v>6</v>
      </c>
    </row>
    <row r="8" spans="1:11" x14ac:dyDescent="0.3">
      <c r="A8" s="20"/>
      <c r="B8" s="1">
        <v>40951</v>
      </c>
      <c r="C8" s="2">
        <v>40952</v>
      </c>
      <c r="D8" s="2">
        <v>40953</v>
      </c>
      <c r="E8" s="2">
        <v>40954</v>
      </c>
      <c r="F8" s="2">
        <v>40955</v>
      </c>
      <c r="G8" s="3">
        <v>40956</v>
      </c>
      <c r="H8" s="4">
        <v>40957</v>
      </c>
      <c r="I8" s="17"/>
      <c r="J8" s="19" t="s">
        <v>10</v>
      </c>
      <c r="K8" s="19">
        <v>7</v>
      </c>
    </row>
    <row r="9" spans="1:11" x14ac:dyDescent="0.3">
      <c r="A9" s="20"/>
      <c r="B9" s="1">
        <v>40958</v>
      </c>
      <c r="C9" s="2">
        <v>40959</v>
      </c>
      <c r="D9" s="2">
        <v>40960</v>
      </c>
      <c r="E9" s="2">
        <v>40961</v>
      </c>
      <c r="F9" s="2">
        <v>40962</v>
      </c>
      <c r="G9" s="3">
        <v>40963</v>
      </c>
      <c r="H9" s="4">
        <v>40964</v>
      </c>
      <c r="I9" s="17"/>
      <c r="J9" s="19" t="s">
        <v>11</v>
      </c>
      <c r="K9" s="19">
        <v>8</v>
      </c>
    </row>
    <row r="10" spans="1:11" x14ac:dyDescent="0.3">
      <c r="A10" s="20"/>
      <c r="B10" s="1">
        <v>40965</v>
      </c>
      <c r="C10" s="2">
        <v>40966</v>
      </c>
      <c r="D10" s="2">
        <v>40967</v>
      </c>
      <c r="E10" s="2">
        <v>40968</v>
      </c>
      <c r="F10" s="2">
        <v>40969</v>
      </c>
      <c r="G10" s="3">
        <v>40970</v>
      </c>
      <c r="H10" s="4">
        <v>40971</v>
      </c>
      <c r="I10" s="17"/>
      <c r="J10" s="19" t="s">
        <v>12</v>
      </c>
      <c r="K10" s="19">
        <v>9</v>
      </c>
    </row>
    <row r="11" spans="1:11" x14ac:dyDescent="0.3">
      <c r="A11" s="20"/>
      <c r="B11" s="5">
        <v>40972</v>
      </c>
      <c r="C11" s="6">
        <v>40973</v>
      </c>
      <c r="D11" s="6">
        <v>40974</v>
      </c>
      <c r="E11" s="6">
        <v>40975</v>
      </c>
      <c r="F11" s="6">
        <v>40976</v>
      </c>
      <c r="G11" s="7">
        <v>40977</v>
      </c>
      <c r="H11" s="8">
        <v>40978</v>
      </c>
      <c r="I11" s="17"/>
      <c r="J11" s="19" t="s">
        <v>13</v>
      </c>
      <c r="K11" s="19">
        <v>10</v>
      </c>
    </row>
    <row r="12" spans="1:11" s="17" customFormat="1" ht="12" customHeight="1" x14ac:dyDescent="0.3">
      <c r="J12" s="17" t="s">
        <v>14</v>
      </c>
      <c r="K12" s="17">
        <v>11</v>
      </c>
    </row>
    <row r="13" spans="1:11" hidden="1" x14ac:dyDescent="0.3">
      <c r="J13" s="19" t="s">
        <v>15</v>
      </c>
      <c r="K13" s="19">
        <v>12</v>
      </c>
    </row>
    <row r="14" spans="1:11" hidden="1" x14ac:dyDescent="0.3"/>
    <row r="15" spans="1:11" hidden="1" x14ac:dyDescent="0.3"/>
    <row r="16" spans="1:11" hidden="1" x14ac:dyDescent="0.3"/>
  </sheetData>
  <mergeCells count="3">
    <mergeCell ref="B2:H2"/>
    <mergeCell ref="B3:H3"/>
    <mergeCell ref="B4:H4"/>
  </mergeCells>
  <conditionalFormatting sqref="B6:H11">
    <cfRule type="expression" dxfId="4" priority="2" stopIfTrue="1">
      <formula>VLOOKUP(B6,feriados,1,FALSE)</formula>
    </cfRule>
    <cfRule type="expression" dxfId="3" priority="1">
      <formula>IF(MONTH(B6)&lt;&gt;MONTH($B$3),TRUE,FALSE)</formula>
    </cfRule>
  </conditionalFormatting>
  <dataValidations count="2">
    <dataValidation type="list" allowBlank="1" showInputMessage="1" showErrorMessage="1" sqref="B4:H4">
      <formula1>"Janeiro,Fevereiro,Março,Abril,Maio,Junho,Julho,Agosto,Setembro,Outubro,Novembro,Dezembro"</formula1>
    </dataValidation>
    <dataValidation type="list" allowBlank="1" showInputMessage="1" showErrorMessage="1" sqref="B2:H2">
      <formula1>"2000,2001,2002,2003,2004,2005,2006,2007,2008,2009,2010,2011,2012,2013,2014,2015,2016,2017,2018,2019,2020"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O16"/>
  <sheetViews>
    <sheetView showGridLines="0" showRowColHeaders="0" zoomScale="160" zoomScaleNormal="160" workbookViewId="0">
      <selection activeCell="B2" sqref="B2:H2"/>
    </sheetView>
  </sheetViews>
  <sheetFormatPr defaultColWidth="0" defaultRowHeight="14.45" customHeight="1" zeroHeight="1" x14ac:dyDescent="0.3"/>
  <cols>
    <col min="1" max="1" width="2.42578125" style="19" customWidth="1"/>
    <col min="2" max="8" width="5.7109375" style="19" customWidth="1"/>
    <col min="9" max="9" width="2.42578125" style="19" customWidth="1"/>
    <col min="10" max="15" width="0" style="19" hidden="1" customWidth="1"/>
    <col min="16" max="16384" width="8.85546875" style="19" hidden="1"/>
  </cols>
  <sheetData>
    <row r="1" spans="1:11" ht="12" customHeight="1" x14ac:dyDescent="0.3">
      <c r="A1" s="17"/>
      <c r="B1" s="18"/>
      <c r="C1" s="18"/>
      <c r="D1" s="18"/>
      <c r="E1" s="18"/>
      <c r="F1" s="18"/>
      <c r="G1" s="18"/>
      <c r="H1" s="18"/>
      <c r="I1" s="17"/>
    </row>
    <row r="2" spans="1:11" ht="18" x14ac:dyDescent="0.35">
      <c r="A2" s="20"/>
      <c r="B2" s="33">
        <v>2012</v>
      </c>
      <c r="C2" s="34"/>
      <c r="D2" s="34"/>
      <c r="E2" s="34"/>
      <c r="F2" s="34"/>
      <c r="G2" s="34"/>
      <c r="H2" s="35"/>
      <c r="I2" s="17"/>
      <c r="J2" s="19" t="s">
        <v>4</v>
      </c>
      <c r="K2" s="19">
        <v>1</v>
      </c>
    </row>
    <row r="3" spans="1:11" hidden="1" x14ac:dyDescent="0.3">
      <c r="A3" s="20"/>
      <c r="B3" s="31">
        <f>DATE(B2,VLOOKUP(B4,$J$2:$K$13,2,FALSE),1)</f>
        <v>40940</v>
      </c>
      <c r="C3" s="31"/>
      <c r="D3" s="31"/>
      <c r="E3" s="31"/>
      <c r="F3" s="31"/>
      <c r="G3" s="31"/>
      <c r="H3" s="32"/>
      <c r="I3" s="17"/>
      <c r="J3" s="19" t="s">
        <v>5</v>
      </c>
      <c r="K3" s="19">
        <v>2</v>
      </c>
    </row>
    <row r="4" spans="1:11" ht="18" x14ac:dyDescent="0.3">
      <c r="A4" s="20"/>
      <c r="B4" s="36" t="s">
        <v>5</v>
      </c>
      <c r="C4" s="37"/>
      <c r="D4" s="37"/>
      <c r="E4" s="37"/>
      <c r="F4" s="37"/>
      <c r="G4" s="37"/>
      <c r="H4" s="38"/>
      <c r="I4" s="21"/>
      <c r="J4" s="19" t="s">
        <v>6</v>
      </c>
      <c r="K4" s="19">
        <v>3</v>
      </c>
    </row>
    <row r="5" spans="1:11" x14ac:dyDescent="0.3">
      <c r="A5" s="20"/>
      <c r="B5" s="15" t="s">
        <v>1</v>
      </c>
      <c r="C5" s="15" t="s">
        <v>2</v>
      </c>
      <c r="D5" s="15" t="s">
        <v>3</v>
      </c>
      <c r="E5" s="15" t="s">
        <v>3</v>
      </c>
      <c r="F5" s="15" t="s">
        <v>1</v>
      </c>
      <c r="G5" s="16" t="s">
        <v>1</v>
      </c>
      <c r="H5" s="16" t="s">
        <v>0</v>
      </c>
      <c r="I5" s="17"/>
      <c r="J5" s="19" t="s">
        <v>7</v>
      </c>
      <c r="K5" s="19">
        <v>4</v>
      </c>
    </row>
    <row r="6" spans="1:11" x14ac:dyDescent="0.3">
      <c r="A6" s="20"/>
      <c r="B6" s="28" t="str">
        <f t="array" ref="B6:H11">IF(MONTH(DATE($B$2,MONTH(B3),1))&lt;&gt;MONTH(DATE($B$2,MONTH(B3),1)-(WEEKDAY(DATE($B$2,MONTH(B3),1))-1)+{0;1;2;3;4;5}*7+{1,2,3,4,5,6,7}),"",DATE($B$2,MONTH(B3),1)-(WEEKDAY(DATE($B$2,MONTH(B3),1))-1)+{0;1;2;3;4;5}*7+{1,2,3,4,5,6,7})</f>
        <v/>
      </c>
      <c r="C6" s="10" t="str">
        <v/>
      </c>
      <c r="D6" s="10">
        <v>40940</v>
      </c>
      <c r="E6" s="10">
        <v>40941</v>
      </c>
      <c r="F6" s="11">
        <v>40942</v>
      </c>
      <c r="G6" s="22">
        <v>40943</v>
      </c>
      <c r="H6" s="25">
        <v>40944</v>
      </c>
      <c r="I6" s="17"/>
      <c r="J6" s="19" t="s">
        <v>8</v>
      </c>
      <c r="K6" s="19">
        <v>5</v>
      </c>
    </row>
    <row r="7" spans="1:11" x14ac:dyDescent="0.3">
      <c r="A7" s="20"/>
      <c r="B7" s="29">
        <v>40945</v>
      </c>
      <c r="C7" s="2">
        <v>40946</v>
      </c>
      <c r="D7" s="2">
        <v>40947</v>
      </c>
      <c r="E7" s="2">
        <v>40948</v>
      </c>
      <c r="F7" s="2">
        <v>40949</v>
      </c>
      <c r="G7" s="23">
        <v>40950</v>
      </c>
      <c r="H7" s="26">
        <v>40951</v>
      </c>
      <c r="I7" s="17"/>
      <c r="J7" s="19" t="s">
        <v>9</v>
      </c>
      <c r="K7" s="19">
        <v>6</v>
      </c>
    </row>
    <row r="8" spans="1:11" x14ac:dyDescent="0.3">
      <c r="A8" s="20"/>
      <c r="B8" s="29">
        <v>40952</v>
      </c>
      <c r="C8" s="2">
        <v>40953</v>
      </c>
      <c r="D8" s="2">
        <v>40954</v>
      </c>
      <c r="E8" s="2">
        <v>40955</v>
      </c>
      <c r="F8" s="2">
        <v>40956</v>
      </c>
      <c r="G8" s="23">
        <v>40957</v>
      </c>
      <c r="H8" s="26">
        <v>40958</v>
      </c>
      <c r="I8" s="17"/>
      <c r="J8" s="19" t="s">
        <v>10</v>
      </c>
      <c r="K8" s="19">
        <v>7</v>
      </c>
    </row>
    <row r="9" spans="1:11" x14ac:dyDescent="0.3">
      <c r="A9" s="20"/>
      <c r="B9" s="29">
        <v>40959</v>
      </c>
      <c r="C9" s="2">
        <v>40960</v>
      </c>
      <c r="D9" s="2">
        <v>40961</v>
      </c>
      <c r="E9" s="2">
        <v>40962</v>
      </c>
      <c r="F9" s="2">
        <v>40963</v>
      </c>
      <c r="G9" s="23">
        <v>40964</v>
      </c>
      <c r="H9" s="26">
        <v>40965</v>
      </c>
      <c r="I9" s="17"/>
      <c r="J9" s="19" t="s">
        <v>11</v>
      </c>
      <c r="K9" s="19">
        <v>8</v>
      </c>
    </row>
    <row r="10" spans="1:11" x14ac:dyDescent="0.3">
      <c r="A10" s="20"/>
      <c r="B10" s="29">
        <v>40966</v>
      </c>
      <c r="C10" s="2">
        <v>40967</v>
      </c>
      <c r="D10" s="2">
        <v>40968</v>
      </c>
      <c r="E10" s="2" t="str">
        <v/>
      </c>
      <c r="F10" s="2" t="str">
        <v/>
      </c>
      <c r="G10" s="23" t="str">
        <v/>
      </c>
      <c r="H10" s="26" t="str">
        <v/>
      </c>
      <c r="I10" s="17"/>
      <c r="J10" s="19" t="s">
        <v>12</v>
      </c>
      <c r="K10" s="19">
        <v>9</v>
      </c>
    </row>
    <row r="11" spans="1:11" x14ac:dyDescent="0.3">
      <c r="A11" s="20"/>
      <c r="B11" s="30" t="str">
        <v/>
      </c>
      <c r="C11" s="6" t="str">
        <v/>
      </c>
      <c r="D11" s="6" t="str">
        <v/>
      </c>
      <c r="E11" s="6" t="str">
        <v/>
      </c>
      <c r="F11" s="6" t="str">
        <v/>
      </c>
      <c r="G11" s="24" t="str">
        <v/>
      </c>
      <c r="H11" s="27" t="str">
        <v/>
      </c>
      <c r="I11" s="17"/>
      <c r="J11" s="19" t="s">
        <v>13</v>
      </c>
      <c r="K11" s="19">
        <v>10</v>
      </c>
    </row>
    <row r="12" spans="1:11" s="17" customFormat="1" ht="12" customHeight="1" x14ac:dyDescent="0.3">
      <c r="J12" s="17" t="s">
        <v>14</v>
      </c>
      <c r="K12" s="17">
        <v>11</v>
      </c>
    </row>
    <row r="13" spans="1:11" hidden="1" x14ac:dyDescent="0.3">
      <c r="J13" s="19" t="s">
        <v>15</v>
      </c>
      <c r="K13" s="19">
        <v>12</v>
      </c>
    </row>
    <row r="14" spans="1:11" hidden="1" x14ac:dyDescent="0.3"/>
    <row r="15" spans="1:11" hidden="1" x14ac:dyDescent="0.3"/>
    <row r="16" spans="1:11" hidden="1" x14ac:dyDescent="0.3"/>
  </sheetData>
  <mergeCells count="3">
    <mergeCell ref="B2:H2"/>
    <mergeCell ref="B3:H3"/>
    <mergeCell ref="B4:H4"/>
  </mergeCells>
  <conditionalFormatting sqref="B6:H11">
    <cfRule type="expression" dxfId="2" priority="1" stopIfTrue="1">
      <formula>VLOOKUP(B6,feriados,1,FALSE)</formula>
    </cfRule>
  </conditionalFormatting>
  <dataValidations count="2">
    <dataValidation type="list" allowBlank="1" showInputMessage="1" showErrorMessage="1" sqref="B4:H4">
      <formula1>"Janeiro,Fevereiro,Março,Abril,Maio,Junho,Julho,Agosto,Setembro,Outubro,Novembro,Dezembro"</formula1>
    </dataValidation>
    <dataValidation type="list" allowBlank="1" showInputMessage="1" showErrorMessage="1" sqref="B2:H2">
      <formula1>"2000,2001,2002,2003,2004,2005,2006,2007,2008,2009,2010,2011,2012,2013,2014,2015,2016,2017,2018,2019,2020"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O16"/>
  <sheetViews>
    <sheetView showGridLines="0" showRowColHeaders="0" tabSelected="1" zoomScale="160" zoomScaleNormal="160" workbookViewId="0">
      <selection activeCell="B2" sqref="B2:H2"/>
    </sheetView>
  </sheetViews>
  <sheetFormatPr defaultColWidth="0" defaultRowHeight="14.45" customHeight="1" zeroHeight="1" x14ac:dyDescent="0.3"/>
  <cols>
    <col min="1" max="1" width="2.42578125" style="19" customWidth="1"/>
    <col min="2" max="8" width="5.7109375" style="19" customWidth="1"/>
    <col min="9" max="9" width="2.42578125" style="19" customWidth="1"/>
    <col min="10" max="15" width="0" style="19" hidden="1" customWidth="1"/>
    <col min="16" max="16384" width="8.85546875" style="19" hidden="1"/>
  </cols>
  <sheetData>
    <row r="1" spans="1:11" ht="12" customHeight="1" x14ac:dyDescent="0.3">
      <c r="A1" s="17"/>
      <c r="B1" s="18"/>
      <c r="C1" s="18"/>
      <c r="D1" s="18"/>
      <c r="E1" s="18"/>
      <c r="F1" s="18"/>
      <c r="G1" s="18"/>
      <c r="H1" s="18"/>
      <c r="I1" s="17"/>
    </row>
    <row r="2" spans="1:11" ht="18" x14ac:dyDescent="0.35">
      <c r="A2" s="20"/>
      <c r="B2" s="33">
        <v>2012</v>
      </c>
      <c r="C2" s="34"/>
      <c r="D2" s="34"/>
      <c r="E2" s="34"/>
      <c r="F2" s="34"/>
      <c r="G2" s="34"/>
      <c r="H2" s="35"/>
      <c r="I2" s="17"/>
      <c r="J2" s="19" t="s">
        <v>4</v>
      </c>
      <c r="K2" s="19">
        <v>1</v>
      </c>
    </row>
    <row r="3" spans="1:11" hidden="1" x14ac:dyDescent="0.3">
      <c r="A3" s="20"/>
      <c r="B3" s="31">
        <f>DATE(B2,VLOOKUP(B4,$J$2:$K$13,2,FALSE),1)</f>
        <v>40940</v>
      </c>
      <c r="C3" s="31"/>
      <c r="D3" s="31"/>
      <c r="E3" s="31"/>
      <c r="F3" s="31"/>
      <c r="G3" s="31"/>
      <c r="H3" s="32"/>
      <c r="I3" s="17"/>
      <c r="J3" s="19" t="s">
        <v>5</v>
      </c>
      <c r="K3" s="19">
        <v>2</v>
      </c>
    </row>
    <row r="4" spans="1:11" ht="18" x14ac:dyDescent="0.3">
      <c r="A4" s="20"/>
      <c r="B4" s="36" t="s">
        <v>5</v>
      </c>
      <c r="C4" s="37"/>
      <c r="D4" s="37"/>
      <c r="E4" s="37"/>
      <c r="F4" s="37"/>
      <c r="G4" s="37"/>
      <c r="H4" s="38"/>
      <c r="I4" s="21"/>
      <c r="J4" s="19" t="s">
        <v>6</v>
      </c>
      <c r="K4" s="19">
        <v>3</v>
      </c>
    </row>
    <row r="5" spans="1:11" x14ac:dyDescent="0.3">
      <c r="A5" s="20"/>
      <c r="B5" s="15" t="s">
        <v>1</v>
      </c>
      <c r="C5" s="15" t="s">
        <v>2</v>
      </c>
      <c r="D5" s="15" t="s">
        <v>3</v>
      </c>
      <c r="E5" s="15" t="s">
        <v>3</v>
      </c>
      <c r="F5" s="15" t="s">
        <v>1</v>
      </c>
      <c r="G5" s="16" t="s">
        <v>1</v>
      </c>
      <c r="H5" s="16" t="s">
        <v>0</v>
      </c>
      <c r="I5" s="17"/>
      <c r="J5" s="19" t="s">
        <v>7</v>
      </c>
      <c r="K5" s="19">
        <v>4</v>
      </c>
    </row>
    <row r="6" spans="1:11" x14ac:dyDescent="0.3">
      <c r="A6" s="20"/>
      <c r="B6" s="28">
        <f t="array" ref="B6:H11">DATE($B$2,MONTH(B3),1)-(WEEKDAY(DATE($B$2,MONTH(B3),1))-1)+{0;1;2;3;4;5}*7+{1,2,3,4,5,6,7}</f>
        <v>40938</v>
      </c>
      <c r="C6" s="10">
        <v>40939</v>
      </c>
      <c r="D6" s="10">
        <v>40940</v>
      </c>
      <c r="E6" s="10">
        <v>40941</v>
      </c>
      <c r="F6" s="11">
        <v>40942</v>
      </c>
      <c r="G6" s="22">
        <v>40943</v>
      </c>
      <c r="H6" s="25">
        <v>40944</v>
      </c>
      <c r="I6" s="17"/>
      <c r="J6" s="19" t="s">
        <v>8</v>
      </c>
      <c r="K6" s="19">
        <v>5</v>
      </c>
    </row>
    <row r="7" spans="1:11" x14ac:dyDescent="0.3">
      <c r="A7" s="20"/>
      <c r="B7" s="29">
        <v>40945</v>
      </c>
      <c r="C7" s="2">
        <v>40946</v>
      </c>
      <c r="D7" s="2">
        <v>40947</v>
      </c>
      <c r="E7" s="2">
        <v>40948</v>
      </c>
      <c r="F7" s="2">
        <v>40949</v>
      </c>
      <c r="G7" s="23">
        <v>40950</v>
      </c>
      <c r="H7" s="26">
        <v>40951</v>
      </c>
      <c r="I7" s="17"/>
      <c r="J7" s="19" t="s">
        <v>9</v>
      </c>
      <c r="K7" s="19">
        <v>6</v>
      </c>
    </row>
    <row r="8" spans="1:11" x14ac:dyDescent="0.3">
      <c r="A8" s="20"/>
      <c r="B8" s="29">
        <v>40952</v>
      </c>
      <c r="C8" s="2">
        <v>40953</v>
      </c>
      <c r="D8" s="2">
        <v>40954</v>
      </c>
      <c r="E8" s="2">
        <v>40955</v>
      </c>
      <c r="F8" s="2">
        <v>40956</v>
      </c>
      <c r="G8" s="23">
        <v>40957</v>
      </c>
      <c r="H8" s="26">
        <v>40958</v>
      </c>
      <c r="I8" s="17"/>
      <c r="J8" s="19" t="s">
        <v>10</v>
      </c>
      <c r="K8" s="19">
        <v>7</v>
      </c>
    </row>
    <row r="9" spans="1:11" x14ac:dyDescent="0.3">
      <c r="A9" s="20"/>
      <c r="B9" s="29">
        <v>40959</v>
      </c>
      <c r="C9" s="2">
        <v>40960</v>
      </c>
      <c r="D9" s="2">
        <v>40961</v>
      </c>
      <c r="E9" s="2">
        <v>40962</v>
      </c>
      <c r="F9" s="2">
        <v>40963</v>
      </c>
      <c r="G9" s="23">
        <v>40964</v>
      </c>
      <c r="H9" s="26">
        <v>40965</v>
      </c>
      <c r="I9" s="17"/>
      <c r="J9" s="19" t="s">
        <v>11</v>
      </c>
      <c r="K9" s="19">
        <v>8</v>
      </c>
    </row>
    <row r="10" spans="1:11" x14ac:dyDescent="0.3">
      <c r="A10" s="20"/>
      <c r="B10" s="29">
        <v>40966</v>
      </c>
      <c r="C10" s="2">
        <v>40967</v>
      </c>
      <c r="D10" s="2">
        <v>40968</v>
      </c>
      <c r="E10" s="2">
        <v>40969</v>
      </c>
      <c r="F10" s="2">
        <v>40970</v>
      </c>
      <c r="G10" s="23">
        <v>40971</v>
      </c>
      <c r="H10" s="26">
        <v>40972</v>
      </c>
      <c r="I10" s="17"/>
      <c r="J10" s="19" t="s">
        <v>12</v>
      </c>
      <c r="K10" s="19">
        <v>9</v>
      </c>
    </row>
    <row r="11" spans="1:11" x14ac:dyDescent="0.3">
      <c r="A11" s="20"/>
      <c r="B11" s="30">
        <v>40973</v>
      </c>
      <c r="C11" s="6">
        <v>40974</v>
      </c>
      <c r="D11" s="6">
        <v>40975</v>
      </c>
      <c r="E11" s="6">
        <v>40976</v>
      </c>
      <c r="F11" s="6">
        <v>40977</v>
      </c>
      <c r="G11" s="24">
        <v>40978</v>
      </c>
      <c r="H11" s="27">
        <v>40979</v>
      </c>
      <c r="I11" s="17"/>
      <c r="J11" s="19" t="s">
        <v>13</v>
      </c>
      <c r="K11" s="19">
        <v>10</v>
      </c>
    </row>
    <row r="12" spans="1:11" s="17" customFormat="1" ht="12" customHeight="1" x14ac:dyDescent="0.3">
      <c r="J12" s="17" t="s">
        <v>14</v>
      </c>
      <c r="K12" s="17">
        <v>11</v>
      </c>
    </row>
    <row r="13" spans="1:11" hidden="1" x14ac:dyDescent="0.3">
      <c r="J13" s="19" t="s">
        <v>15</v>
      </c>
      <c r="K13" s="19">
        <v>12</v>
      </c>
    </row>
    <row r="14" spans="1:11" hidden="1" x14ac:dyDescent="0.3"/>
    <row r="15" spans="1:11" hidden="1" x14ac:dyDescent="0.3"/>
    <row r="16" spans="1:11" hidden="1" x14ac:dyDescent="0.3"/>
  </sheetData>
  <mergeCells count="3">
    <mergeCell ref="B2:H2"/>
    <mergeCell ref="B3:H3"/>
    <mergeCell ref="B4:H4"/>
  </mergeCells>
  <conditionalFormatting sqref="B6:H11">
    <cfRule type="expression" dxfId="1" priority="3" stopIfTrue="1">
      <formula>VLOOKUP(B6,feriados,1,FALSE)</formula>
    </cfRule>
    <cfRule type="expression" dxfId="0" priority="1">
      <formula>IF(MONTH(B6)&lt;&gt;MONTH($B$3),TRUE,FALSE)</formula>
    </cfRule>
  </conditionalFormatting>
  <dataValidations count="2">
    <dataValidation type="list" allowBlank="1" showInputMessage="1" showErrorMessage="1" sqref="B2:H2">
      <formula1>"2000,2001,2002,2003,2004,2005,2006,2007,2008,2009,2010,2011,2012,2013,2014,2015,2016,2017,2018,2019,2020"</formula1>
    </dataValidation>
    <dataValidation type="list" allowBlank="1" showInputMessage="1" showErrorMessage="1" sqref="B4:H4">
      <formula1>"Janeiro,Fevereiro,Março,Abril,Maio,Junho,Julho,Agosto,Setembro,Outubro,Novembro,Dezembro"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V4"/>
  <sheetViews>
    <sheetView workbookViewId="0">
      <selection activeCell="EG4" sqref="EG4"/>
    </sheetView>
  </sheetViews>
  <sheetFormatPr defaultRowHeight="15" x14ac:dyDescent="0.25"/>
  <sheetData>
    <row r="1" spans="1:256" x14ac:dyDescent="0.3">
      <c r="A1">
        <f>IF('INÍCIO NO DOMINGO'!1:1,"AAAAADq+twA=",0)</f>
        <v>0</v>
      </c>
      <c r="B1" t="e">
        <f>AND('INÍCIO NO DOMINGO'!A1,"AAAAADq+twE=")</f>
        <v>#VALUE!</v>
      </c>
      <c r="C1" t="e">
        <f>AND('INÍCIO NO DOMINGO'!B1,"AAAAADq+twI=")</f>
        <v>#VALUE!</v>
      </c>
      <c r="D1" t="e">
        <f>AND('INÍCIO NO DOMINGO'!C1,"AAAAADq+twM=")</f>
        <v>#VALUE!</v>
      </c>
      <c r="E1" t="e">
        <f>AND('INÍCIO NO DOMINGO'!D1,"AAAAADq+twQ=")</f>
        <v>#VALUE!</v>
      </c>
      <c r="F1" t="e">
        <f>AND('INÍCIO NO DOMINGO'!E1,"AAAAADq+twU=")</f>
        <v>#VALUE!</v>
      </c>
      <c r="G1" t="e">
        <f>AND('INÍCIO NO DOMINGO'!F1,"AAAAADq+twY=")</f>
        <v>#VALUE!</v>
      </c>
      <c r="H1" t="e">
        <f>AND('INÍCIO NO DOMINGO'!G1,"AAAAADq+twc=")</f>
        <v>#VALUE!</v>
      </c>
      <c r="I1" t="e">
        <f>AND('INÍCIO NO DOMINGO'!H1,"AAAAADq+twg=")</f>
        <v>#VALUE!</v>
      </c>
      <c r="J1" t="e">
        <f>AND('INÍCIO NO DOMINGO'!I1,"AAAAADq+twk=")</f>
        <v>#VALUE!</v>
      </c>
      <c r="K1" t="e">
        <f>AND('INÍCIO NO DOMINGO'!J1,"AAAAADq+two=")</f>
        <v>#VALUE!</v>
      </c>
      <c r="L1" t="e">
        <f>AND('INÍCIO NO DOMINGO'!K1,"AAAAADq+tws=")</f>
        <v>#VALUE!</v>
      </c>
      <c r="M1" t="e">
        <f>AND('INÍCIO NO DOMINGO'!L1,"AAAAADq+tww=")</f>
        <v>#VALUE!</v>
      </c>
      <c r="N1" t="e">
        <f>AND('INÍCIO NO DOMINGO'!M1,"AAAAADq+tw0=")</f>
        <v>#VALUE!</v>
      </c>
      <c r="O1" t="e">
        <f>AND('INÍCIO NO DOMINGO'!N1,"AAAAADq+tw4=")</f>
        <v>#VALUE!</v>
      </c>
      <c r="P1" t="e">
        <f>AND('INÍCIO NO DOMINGO'!O1,"AAAAADq+tw8=")</f>
        <v>#VALUE!</v>
      </c>
      <c r="Q1">
        <f>IF('INÍCIO NO DOMINGO'!2:2,"AAAAADq+txA=",0)</f>
        <v>0</v>
      </c>
      <c r="R1" t="e">
        <f>AND('INÍCIO NO DOMINGO'!A2,"AAAAADq+txE=")</f>
        <v>#VALUE!</v>
      </c>
      <c r="S1" t="e">
        <f>AND('INÍCIO NO DOMINGO'!B2,"AAAAADq+txI=")</f>
        <v>#VALUE!</v>
      </c>
      <c r="T1" t="e">
        <f>AND('INÍCIO NO DOMINGO'!C2,"AAAAADq+txM=")</f>
        <v>#VALUE!</v>
      </c>
      <c r="U1" t="e">
        <f>AND('INÍCIO NO DOMINGO'!D2,"AAAAADq+txQ=")</f>
        <v>#VALUE!</v>
      </c>
      <c r="V1" t="e">
        <f>AND('INÍCIO NO DOMINGO'!E2,"AAAAADq+txU=")</f>
        <v>#VALUE!</v>
      </c>
      <c r="W1" t="e">
        <f>AND('INÍCIO NO DOMINGO'!F2,"AAAAADq+txY=")</f>
        <v>#VALUE!</v>
      </c>
      <c r="X1" t="e">
        <f>AND('INÍCIO NO DOMINGO'!G2,"AAAAADq+txc=")</f>
        <v>#VALUE!</v>
      </c>
      <c r="Y1" t="e">
        <f>AND('INÍCIO NO DOMINGO'!H2,"AAAAADq+txg=")</f>
        <v>#VALUE!</v>
      </c>
      <c r="Z1" t="e">
        <f>AND('INÍCIO NO DOMINGO'!I2,"AAAAADq+txk=")</f>
        <v>#VALUE!</v>
      </c>
      <c r="AA1" t="e">
        <f>AND('INÍCIO NO DOMINGO'!J2,"AAAAADq+txo=")</f>
        <v>#VALUE!</v>
      </c>
      <c r="AB1" t="e">
        <f>AND('INÍCIO NO DOMINGO'!K2,"AAAAADq+txs=")</f>
        <v>#VALUE!</v>
      </c>
      <c r="AC1" t="e">
        <f>AND('INÍCIO NO DOMINGO'!L2,"AAAAADq+txw=")</f>
        <v>#VALUE!</v>
      </c>
      <c r="AD1" t="e">
        <f>AND('INÍCIO NO DOMINGO'!M2,"AAAAADq+tx0=")</f>
        <v>#VALUE!</v>
      </c>
      <c r="AE1" t="e">
        <f>AND('INÍCIO NO DOMINGO'!N2,"AAAAADq+tx4=")</f>
        <v>#VALUE!</v>
      </c>
      <c r="AF1" t="e">
        <f>AND('INÍCIO NO DOMINGO'!O2,"AAAAADq+tx8=")</f>
        <v>#VALUE!</v>
      </c>
      <c r="AG1">
        <f>IF('INÍCIO NO DOMINGO'!3:3,"AAAAADq+tyA=",0)</f>
        <v>0</v>
      </c>
      <c r="AH1" t="e">
        <f>AND('INÍCIO NO DOMINGO'!A3,"AAAAADq+tyE=")</f>
        <v>#VALUE!</v>
      </c>
      <c r="AI1" t="e">
        <f>AND('INÍCIO NO DOMINGO'!B3,"AAAAADq+tyI=")</f>
        <v>#VALUE!</v>
      </c>
      <c r="AJ1" t="e">
        <f>AND('INÍCIO NO DOMINGO'!C3,"AAAAADq+tyM=")</f>
        <v>#VALUE!</v>
      </c>
      <c r="AK1" t="e">
        <f>AND('INÍCIO NO DOMINGO'!D3,"AAAAADq+tyQ=")</f>
        <v>#VALUE!</v>
      </c>
      <c r="AL1" t="e">
        <f>AND('INÍCIO NO DOMINGO'!E3,"AAAAADq+tyU=")</f>
        <v>#VALUE!</v>
      </c>
      <c r="AM1" t="e">
        <f>AND('INÍCIO NO DOMINGO'!F3,"AAAAADq+tyY=")</f>
        <v>#VALUE!</v>
      </c>
      <c r="AN1" t="e">
        <f>AND('INÍCIO NO DOMINGO'!G3,"AAAAADq+tyc=")</f>
        <v>#VALUE!</v>
      </c>
      <c r="AO1" t="e">
        <f>AND('INÍCIO NO DOMINGO'!H3,"AAAAADq+tyg=")</f>
        <v>#VALUE!</v>
      </c>
      <c r="AP1" t="e">
        <f>AND('INÍCIO NO DOMINGO'!I3,"AAAAADq+tyk=")</f>
        <v>#VALUE!</v>
      </c>
      <c r="AQ1" t="e">
        <f>AND('INÍCIO NO DOMINGO'!J3,"AAAAADq+tyo=")</f>
        <v>#VALUE!</v>
      </c>
      <c r="AR1" t="e">
        <f>AND('INÍCIO NO DOMINGO'!K3,"AAAAADq+tys=")</f>
        <v>#VALUE!</v>
      </c>
      <c r="AS1" t="e">
        <f>AND('INÍCIO NO DOMINGO'!L3,"AAAAADq+tyw=")</f>
        <v>#VALUE!</v>
      </c>
      <c r="AT1" t="e">
        <f>AND('INÍCIO NO DOMINGO'!M3,"AAAAADq+ty0=")</f>
        <v>#VALUE!</v>
      </c>
      <c r="AU1" t="e">
        <f>AND('INÍCIO NO DOMINGO'!N3,"AAAAADq+ty4=")</f>
        <v>#VALUE!</v>
      </c>
      <c r="AV1" t="e">
        <f>AND('INÍCIO NO DOMINGO'!O3,"AAAAADq+ty8=")</f>
        <v>#VALUE!</v>
      </c>
      <c r="AW1">
        <f>IF('INÍCIO NO DOMINGO'!4:4,"AAAAADq+tzA=",0)</f>
        <v>0</v>
      </c>
      <c r="AX1" t="e">
        <f>AND('INÍCIO NO DOMINGO'!A4,"AAAAADq+tzE=")</f>
        <v>#VALUE!</v>
      </c>
      <c r="AY1" t="e">
        <f>AND('INÍCIO NO DOMINGO'!B4,"AAAAADq+tzI=")</f>
        <v>#VALUE!</v>
      </c>
      <c r="AZ1" t="e">
        <f>AND('INÍCIO NO DOMINGO'!C4,"AAAAADq+tzM=")</f>
        <v>#VALUE!</v>
      </c>
      <c r="BA1" t="e">
        <f>AND('INÍCIO NO DOMINGO'!D4,"AAAAADq+tzQ=")</f>
        <v>#VALUE!</v>
      </c>
      <c r="BB1" t="e">
        <f>AND('INÍCIO NO DOMINGO'!E4,"AAAAADq+tzU=")</f>
        <v>#VALUE!</v>
      </c>
      <c r="BC1" t="e">
        <f>AND('INÍCIO NO DOMINGO'!F4,"AAAAADq+tzY=")</f>
        <v>#VALUE!</v>
      </c>
      <c r="BD1" t="e">
        <f>AND('INÍCIO NO DOMINGO'!G4,"AAAAADq+tzc=")</f>
        <v>#VALUE!</v>
      </c>
      <c r="BE1" t="e">
        <f>AND('INÍCIO NO DOMINGO'!H4,"AAAAADq+tzg=")</f>
        <v>#VALUE!</v>
      </c>
      <c r="BF1" t="e">
        <f>AND('INÍCIO NO DOMINGO'!I4,"AAAAADq+tzk=")</f>
        <v>#VALUE!</v>
      </c>
      <c r="BG1" t="e">
        <f>AND('INÍCIO NO DOMINGO'!J4,"AAAAADq+tzo=")</f>
        <v>#VALUE!</v>
      </c>
      <c r="BH1" t="e">
        <f>AND('INÍCIO NO DOMINGO'!K4,"AAAAADq+tzs=")</f>
        <v>#VALUE!</v>
      </c>
      <c r="BI1" t="e">
        <f>AND('INÍCIO NO DOMINGO'!L4,"AAAAADq+tzw=")</f>
        <v>#VALUE!</v>
      </c>
      <c r="BJ1" t="e">
        <f>AND('INÍCIO NO DOMINGO'!M4,"AAAAADq+tz0=")</f>
        <v>#VALUE!</v>
      </c>
      <c r="BK1" t="e">
        <f>AND('INÍCIO NO DOMINGO'!N4,"AAAAADq+tz4=")</f>
        <v>#VALUE!</v>
      </c>
      <c r="BL1" t="e">
        <f>AND('INÍCIO NO DOMINGO'!O4,"AAAAADq+tz8=")</f>
        <v>#VALUE!</v>
      </c>
      <c r="BM1">
        <f>IF('INÍCIO NO DOMINGO'!5:5,"AAAAADq+t0A=",0)</f>
        <v>0</v>
      </c>
      <c r="BN1" t="e">
        <f>AND('INÍCIO NO DOMINGO'!A5,"AAAAADq+t0E=")</f>
        <v>#VALUE!</v>
      </c>
      <c r="BO1" t="e">
        <f>AND('INÍCIO NO DOMINGO'!B5,"AAAAADq+t0I=")</f>
        <v>#VALUE!</v>
      </c>
      <c r="BP1" t="e">
        <f>AND('INÍCIO NO DOMINGO'!C5,"AAAAADq+t0M=")</f>
        <v>#VALUE!</v>
      </c>
      <c r="BQ1" t="e">
        <f>AND('INÍCIO NO DOMINGO'!D5,"AAAAADq+t0Q=")</f>
        <v>#VALUE!</v>
      </c>
      <c r="BR1" t="e">
        <f>AND('INÍCIO NO DOMINGO'!E5,"AAAAADq+t0U=")</f>
        <v>#VALUE!</v>
      </c>
      <c r="BS1" t="e">
        <f>AND('INÍCIO NO DOMINGO'!F5,"AAAAADq+t0Y=")</f>
        <v>#VALUE!</v>
      </c>
      <c r="BT1" t="e">
        <f>AND('INÍCIO NO DOMINGO'!G5,"AAAAADq+t0c=")</f>
        <v>#VALUE!</v>
      </c>
      <c r="BU1" t="e">
        <f>AND('INÍCIO NO DOMINGO'!H5,"AAAAADq+t0g=")</f>
        <v>#VALUE!</v>
      </c>
      <c r="BV1" t="e">
        <f>AND('INÍCIO NO DOMINGO'!I5,"AAAAADq+t0k=")</f>
        <v>#VALUE!</v>
      </c>
      <c r="BW1" t="e">
        <f>AND('INÍCIO NO DOMINGO'!J5,"AAAAADq+t0o=")</f>
        <v>#VALUE!</v>
      </c>
      <c r="BX1" t="e">
        <f>AND('INÍCIO NO DOMINGO'!K5,"AAAAADq+t0s=")</f>
        <v>#VALUE!</v>
      </c>
      <c r="BY1" t="e">
        <f>AND('INÍCIO NO DOMINGO'!L5,"AAAAADq+t0w=")</f>
        <v>#VALUE!</v>
      </c>
      <c r="BZ1" t="e">
        <f>AND('INÍCIO NO DOMINGO'!M5,"AAAAADq+t00=")</f>
        <v>#VALUE!</v>
      </c>
      <c r="CA1" t="e">
        <f>AND('INÍCIO NO DOMINGO'!N5,"AAAAADq+t04=")</f>
        <v>#VALUE!</v>
      </c>
      <c r="CB1" t="e">
        <f>AND('INÍCIO NO DOMINGO'!O5,"AAAAADq+t08=")</f>
        <v>#VALUE!</v>
      </c>
      <c r="CC1">
        <f>IF('INÍCIO NO DOMINGO'!6:6,"AAAAADq+t1A=",0)</f>
        <v>0</v>
      </c>
      <c r="CD1" t="e">
        <f>AND('INÍCIO NO DOMINGO'!A6,"AAAAADq+t1E=")</f>
        <v>#VALUE!</v>
      </c>
      <c r="CE1" t="e">
        <f>AND('INÍCIO NO DOMINGO'!B6,"AAAAADq+t1I=")</f>
        <v>#VALUE!</v>
      </c>
      <c r="CF1" t="e">
        <f>AND('INÍCIO NO DOMINGO'!C6,"AAAAADq+t1M=")</f>
        <v>#VALUE!</v>
      </c>
      <c r="CG1" t="e">
        <f>AND('INÍCIO NO DOMINGO'!D6,"AAAAADq+t1Q=")</f>
        <v>#VALUE!</v>
      </c>
      <c r="CH1" t="e">
        <f>AND('INÍCIO NO DOMINGO'!E6,"AAAAADq+t1U=")</f>
        <v>#VALUE!</v>
      </c>
      <c r="CI1" t="e">
        <f>AND('INÍCIO NO DOMINGO'!F6,"AAAAADq+t1Y=")</f>
        <v>#VALUE!</v>
      </c>
      <c r="CJ1" t="e">
        <f>AND('INÍCIO NO DOMINGO'!G6,"AAAAADq+t1c=")</f>
        <v>#VALUE!</v>
      </c>
      <c r="CK1" t="e">
        <f>AND('INÍCIO NO DOMINGO'!H6,"AAAAADq+t1g=")</f>
        <v>#VALUE!</v>
      </c>
      <c r="CL1" t="e">
        <f>AND('INÍCIO NO DOMINGO'!I6,"AAAAADq+t1k=")</f>
        <v>#VALUE!</v>
      </c>
      <c r="CM1" t="e">
        <f>AND('INÍCIO NO DOMINGO'!J6,"AAAAADq+t1o=")</f>
        <v>#VALUE!</v>
      </c>
      <c r="CN1" t="e">
        <f>AND('INÍCIO NO DOMINGO'!K6,"AAAAADq+t1s=")</f>
        <v>#VALUE!</v>
      </c>
      <c r="CO1" t="e">
        <f>AND('INÍCIO NO DOMINGO'!L6,"AAAAADq+t1w=")</f>
        <v>#VALUE!</v>
      </c>
      <c r="CP1" t="e">
        <f>AND('INÍCIO NO DOMINGO'!M6,"AAAAADq+t10=")</f>
        <v>#VALUE!</v>
      </c>
      <c r="CQ1" t="e">
        <f>AND('INÍCIO NO DOMINGO'!N6,"AAAAADq+t14=")</f>
        <v>#VALUE!</v>
      </c>
      <c r="CR1" t="e">
        <f>AND('INÍCIO NO DOMINGO'!O6,"AAAAADq+t18=")</f>
        <v>#VALUE!</v>
      </c>
      <c r="CS1">
        <f>IF('INÍCIO NO DOMINGO'!7:7,"AAAAADq+t2A=",0)</f>
        <v>0</v>
      </c>
      <c r="CT1" t="e">
        <f>AND('INÍCIO NO DOMINGO'!A7,"AAAAADq+t2E=")</f>
        <v>#VALUE!</v>
      </c>
      <c r="CU1" t="e">
        <f>AND('INÍCIO NO DOMINGO'!B7,"AAAAADq+t2I=")</f>
        <v>#VALUE!</v>
      </c>
      <c r="CV1" t="e">
        <f>AND('INÍCIO NO DOMINGO'!C7,"AAAAADq+t2M=")</f>
        <v>#VALUE!</v>
      </c>
      <c r="CW1" t="e">
        <f>AND('INÍCIO NO DOMINGO'!D7,"AAAAADq+t2Q=")</f>
        <v>#VALUE!</v>
      </c>
      <c r="CX1" t="e">
        <f>AND('INÍCIO NO DOMINGO'!E7,"AAAAADq+t2U=")</f>
        <v>#VALUE!</v>
      </c>
      <c r="CY1" t="e">
        <f>AND('INÍCIO NO DOMINGO'!F7,"AAAAADq+t2Y=")</f>
        <v>#VALUE!</v>
      </c>
      <c r="CZ1" t="e">
        <f>AND('INÍCIO NO DOMINGO'!G7,"AAAAADq+t2c=")</f>
        <v>#VALUE!</v>
      </c>
      <c r="DA1" t="e">
        <f>AND('INÍCIO NO DOMINGO'!H7,"AAAAADq+t2g=")</f>
        <v>#VALUE!</v>
      </c>
      <c r="DB1" t="e">
        <f>AND('INÍCIO NO DOMINGO'!I7,"AAAAADq+t2k=")</f>
        <v>#VALUE!</v>
      </c>
      <c r="DC1" t="e">
        <f>AND('INÍCIO NO DOMINGO'!J7,"AAAAADq+t2o=")</f>
        <v>#VALUE!</v>
      </c>
      <c r="DD1" t="e">
        <f>AND('INÍCIO NO DOMINGO'!K7,"AAAAADq+t2s=")</f>
        <v>#VALUE!</v>
      </c>
      <c r="DE1" t="e">
        <f>AND('INÍCIO NO DOMINGO'!L7,"AAAAADq+t2w=")</f>
        <v>#VALUE!</v>
      </c>
      <c r="DF1" t="e">
        <f>AND('INÍCIO NO DOMINGO'!M7,"AAAAADq+t20=")</f>
        <v>#VALUE!</v>
      </c>
      <c r="DG1" t="e">
        <f>AND('INÍCIO NO DOMINGO'!N7,"AAAAADq+t24=")</f>
        <v>#VALUE!</v>
      </c>
      <c r="DH1" t="e">
        <f>AND('INÍCIO NO DOMINGO'!O7,"AAAAADq+t28=")</f>
        <v>#VALUE!</v>
      </c>
      <c r="DI1">
        <f>IF('INÍCIO NO DOMINGO'!8:8,"AAAAADq+t3A=",0)</f>
        <v>0</v>
      </c>
      <c r="DJ1" t="e">
        <f>AND('INÍCIO NO DOMINGO'!A8,"AAAAADq+t3E=")</f>
        <v>#VALUE!</v>
      </c>
      <c r="DK1" t="e">
        <f>AND('INÍCIO NO DOMINGO'!B8,"AAAAADq+t3I=")</f>
        <v>#VALUE!</v>
      </c>
      <c r="DL1" t="e">
        <f>AND('INÍCIO NO DOMINGO'!C8,"AAAAADq+t3M=")</f>
        <v>#VALUE!</v>
      </c>
      <c r="DM1" t="e">
        <f>AND('INÍCIO NO DOMINGO'!D8,"AAAAADq+t3Q=")</f>
        <v>#VALUE!</v>
      </c>
      <c r="DN1" t="e">
        <f>AND('INÍCIO NO DOMINGO'!E8,"AAAAADq+t3U=")</f>
        <v>#VALUE!</v>
      </c>
      <c r="DO1" t="e">
        <f>AND('INÍCIO NO DOMINGO'!F8,"AAAAADq+t3Y=")</f>
        <v>#VALUE!</v>
      </c>
      <c r="DP1" t="e">
        <f>AND('INÍCIO NO DOMINGO'!G8,"AAAAADq+t3c=")</f>
        <v>#VALUE!</v>
      </c>
      <c r="DQ1" t="e">
        <f>AND('INÍCIO NO DOMINGO'!H8,"AAAAADq+t3g=")</f>
        <v>#VALUE!</v>
      </c>
      <c r="DR1" t="e">
        <f>AND('INÍCIO NO DOMINGO'!I8,"AAAAADq+t3k=")</f>
        <v>#VALUE!</v>
      </c>
      <c r="DS1" t="e">
        <f>AND('INÍCIO NO DOMINGO'!J8,"AAAAADq+t3o=")</f>
        <v>#VALUE!</v>
      </c>
      <c r="DT1" t="e">
        <f>AND('INÍCIO NO DOMINGO'!K8,"AAAAADq+t3s=")</f>
        <v>#VALUE!</v>
      </c>
      <c r="DU1" t="e">
        <f>AND('INÍCIO NO DOMINGO'!L8,"AAAAADq+t3w=")</f>
        <v>#VALUE!</v>
      </c>
      <c r="DV1" t="e">
        <f>AND('INÍCIO NO DOMINGO'!M8,"AAAAADq+t30=")</f>
        <v>#VALUE!</v>
      </c>
      <c r="DW1" t="e">
        <f>AND('INÍCIO NO DOMINGO'!N8,"AAAAADq+t34=")</f>
        <v>#VALUE!</v>
      </c>
      <c r="DX1" t="e">
        <f>AND('INÍCIO NO DOMINGO'!O8,"AAAAADq+t38=")</f>
        <v>#VALUE!</v>
      </c>
      <c r="DY1">
        <f>IF('INÍCIO NO DOMINGO'!9:9,"AAAAADq+t4A=",0)</f>
        <v>0</v>
      </c>
      <c r="DZ1" t="e">
        <f>AND('INÍCIO NO DOMINGO'!A9,"AAAAADq+t4E=")</f>
        <v>#VALUE!</v>
      </c>
      <c r="EA1" t="e">
        <f>AND('INÍCIO NO DOMINGO'!B9,"AAAAADq+t4I=")</f>
        <v>#VALUE!</v>
      </c>
      <c r="EB1" t="e">
        <f>AND('INÍCIO NO DOMINGO'!C9,"AAAAADq+t4M=")</f>
        <v>#VALUE!</v>
      </c>
      <c r="EC1" t="e">
        <f>AND('INÍCIO NO DOMINGO'!D9,"AAAAADq+t4Q=")</f>
        <v>#VALUE!</v>
      </c>
      <c r="ED1" t="e">
        <f>AND('INÍCIO NO DOMINGO'!E9,"AAAAADq+t4U=")</f>
        <v>#VALUE!</v>
      </c>
      <c r="EE1" t="e">
        <f>AND('INÍCIO NO DOMINGO'!F9,"AAAAADq+t4Y=")</f>
        <v>#VALUE!</v>
      </c>
      <c r="EF1" t="e">
        <f>AND('INÍCIO NO DOMINGO'!G9,"AAAAADq+t4c=")</f>
        <v>#VALUE!</v>
      </c>
      <c r="EG1" t="e">
        <f>AND('INÍCIO NO DOMINGO'!H9,"AAAAADq+t4g=")</f>
        <v>#VALUE!</v>
      </c>
      <c r="EH1" t="e">
        <f>AND('INÍCIO NO DOMINGO'!I9,"AAAAADq+t4k=")</f>
        <v>#VALUE!</v>
      </c>
      <c r="EI1" t="e">
        <f>AND('INÍCIO NO DOMINGO'!J9,"AAAAADq+t4o=")</f>
        <v>#VALUE!</v>
      </c>
      <c r="EJ1" t="e">
        <f>AND('INÍCIO NO DOMINGO'!K9,"AAAAADq+t4s=")</f>
        <v>#VALUE!</v>
      </c>
      <c r="EK1" t="e">
        <f>AND('INÍCIO NO DOMINGO'!L9,"AAAAADq+t4w=")</f>
        <v>#VALUE!</v>
      </c>
      <c r="EL1" t="e">
        <f>AND('INÍCIO NO DOMINGO'!M9,"AAAAADq+t40=")</f>
        <v>#VALUE!</v>
      </c>
      <c r="EM1" t="e">
        <f>AND('INÍCIO NO DOMINGO'!N9,"AAAAADq+t44=")</f>
        <v>#VALUE!</v>
      </c>
      <c r="EN1" t="e">
        <f>AND('INÍCIO NO DOMINGO'!O9,"AAAAADq+t48=")</f>
        <v>#VALUE!</v>
      </c>
      <c r="EO1">
        <f>IF('INÍCIO NO DOMINGO'!10:10,"AAAAADq+t5A=",0)</f>
        <v>0</v>
      </c>
      <c r="EP1" t="e">
        <f>AND('INÍCIO NO DOMINGO'!A10,"AAAAADq+t5E=")</f>
        <v>#VALUE!</v>
      </c>
      <c r="EQ1" t="e">
        <f>AND('INÍCIO NO DOMINGO'!B10,"AAAAADq+t5I=")</f>
        <v>#VALUE!</v>
      </c>
      <c r="ER1" t="e">
        <f>AND('INÍCIO NO DOMINGO'!C10,"AAAAADq+t5M=")</f>
        <v>#VALUE!</v>
      </c>
      <c r="ES1" t="e">
        <f>AND('INÍCIO NO DOMINGO'!D10,"AAAAADq+t5Q=")</f>
        <v>#VALUE!</v>
      </c>
      <c r="ET1" t="e">
        <f>AND('INÍCIO NO DOMINGO'!E10,"AAAAADq+t5U=")</f>
        <v>#VALUE!</v>
      </c>
      <c r="EU1" t="e">
        <f>AND('INÍCIO NO DOMINGO'!F10,"AAAAADq+t5Y=")</f>
        <v>#VALUE!</v>
      </c>
      <c r="EV1" t="e">
        <f>AND('INÍCIO NO DOMINGO'!G10,"AAAAADq+t5c=")</f>
        <v>#VALUE!</v>
      </c>
      <c r="EW1" t="e">
        <f>AND('INÍCIO NO DOMINGO'!H10,"AAAAADq+t5g=")</f>
        <v>#VALUE!</v>
      </c>
      <c r="EX1" t="e">
        <f>AND('INÍCIO NO DOMINGO'!I10,"AAAAADq+t5k=")</f>
        <v>#VALUE!</v>
      </c>
      <c r="EY1" t="e">
        <f>AND('INÍCIO NO DOMINGO'!J10,"AAAAADq+t5o=")</f>
        <v>#VALUE!</v>
      </c>
      <c r="EZ1" t="e">
        <f>AND('INÍCIO NO DOMINGO'!K10,"AAAAADq+t5s=")</f>
        <v>#VALUE!</v>
      </c>
      <c r="FA1" t="e">
        <f>AND('INÍCIO NO DOMINGO'!L10,"AAAAADq+t5w=")</f>
        <v>#VALUE!</v>
      </c>
      <c r="FB1" t="e">
        <f>AND('INÍCIO NO DOMINGO'!M10,"AAAAADq+t50=")</f>
        <v>#VALUE!</v>
      </c>
      <c r="FC1" t="e">
        <f>AND('INÍCIO NO DOMINGO'!N10,"AAAAADq+t54=")</f>
        <v>#VALUE!</v>
      </c>
      <c r="FD1" t="e">
        <f>AND('INÍCIO NO DOMINGO'!O10,"AAAAADq+t58=")</f>
        <v>#VALUE!</v>
      </c>
      <c r="FE1">
        <f>IF('INÍCIO NO DOMINGO'!11:11,"AAAAADq+t6A=",0)</f>
        <v>0</v>
      </c>
      <c r="FF1" t="e">
        <f>AND('INÍCIO NO DOMINGO'!A11,"AAAAADq+t6E=")</f>
        <v>#VALUE!</v>
      </c>
      <c r="FG1" t="e">
        <f>AND('INÍCIO NO DOMINGO'!B11,"AAAAADq+t6I=")</f>
        <v>#VALUE!</v>
      </c>
      <c r="FH1" t="e">
        <f>AND('INÍCIO NO DOMINGO'!C11,"AAAAADq+t6M=")</f>
        <v>#VALUE!</v>
      </c>
      <c r="FI1" t="e">
        <f>AND('INÍCIO NO DOMINGO'!D11,"AAAAADq+t6Q=")</f>
        <v>#VALUE!</v>
      </c>
      <c r="FJ1" t="e">
        <f>AND('INÍCIO NO DOMINGO'!E11,"AAAAADq+t6U=")</f>
        <v>#VALUE!</v>
      </c>
      <c r="FK1" t="e">
        <f>AND('INÍCIO NO DOMINGO'!F11,"AAAAADq+t6Y=")</f>
        <v>#VALUE!</v>
      </c>
      <c r="FL1" t="e">
        <f>AND('INÍCIO NO DOMINGO'!G11,"AAAAADq+t6c=")</f>
        <v>#VALUE!</v>
      </c>
      <c r="FM1" t="e">
        <f>AND('INÍCIO NO DOMINGO'!H11,"AAAAADq+t6g=")</f>
        <v>#VALUE!</v>
      </c>
      <c r="FN1" t="e">
        <f>AND('INÍCIO NO DOMINGO'!I11,"AAAAADq+t6k=")</f>
        <v>#VALUE!</v>
      </c>
      <c r="FO1" t="e">
        <f>AND('INÍCIO NO DOMINGO'!J11,"AAAAADq+t6o=")</f>
        <v>#VALUE!</v>
      </c>
      <c r="FP1" t="e">
        <f>AND('INÍCIO NO DOMINGO'!K11,"AAAAADq+t6s=")</f>
        <v>#VALUE!</v>
      </c>
      <c r="FQ1" t="e">
        <f>AND('INÍCIO NO DOMINGO'!L11,"AAAAADq+t6w=")</f>
        <v>#VALUE!</v>
      </c>
      <c r="FR1" t="e">
        <f>AND('INÍCIO NO DOMINGO'!M11,"AAAAADq+t60=")</f>
        <v>#VALUE!</v>
      </c>
      <c r="FS1" t="e">
        <f>AND('INÍCIO NO DOMINGO'!N11,"AAAAADq+t64=")</f>
        <v>#VALUE!</v>
      </c>
      <c r="FT1" t="e">
        <f>AND('INÍCIO NO DOMINGO'!O11,"AAAAADq+t68=")</f>
        <v>#VALUE!</v>
      </c>
      <c r="FU1">
        <f>IF('INÍCIO NO DOMINGO'!12:12,"AAAAADq+t7A=",0)</f>
        <v>0</v>
      </c>
      <c r="FV1" t="e">
        <f>AND('INÍCIO NO DOMINGO'!A12,"AAAAADq+t7E=")</f>
        <v>#VALUE!</v>
      </c>
      <c r="FW1" t="e">
        <f>AND('INÍCIO NO DOMINGO'!B12,"AAAAADq+t7I=")</f>
        <v>#VALUE!</v>
      </c>
      <c r="FX1" t="e">
        <f>AND('INÍCIO NO DOMINGO'!C12,"AAAAADq+t7M=")</f>
        <v>#VALUE!</v>
      </c>
      <c r="FY1" t="e">
        <f>AND('INÍCIO NO DOMINGO'!D12,"AAAAADq+t7Q=")</f>
        <v>#VALUE!</v>
      </c>
      <c r="FZ1" t="e">
        <f>AND('INÍCIO NO DOMINGO'!E12,"AAAAADq+t7U=")</f>
        <v>#VALUE!</v>
      </c>
      <c r="GA1" t="e">
        <f>AND('INÍCIO NO DOMINGO'!F12,"AAAAADq+t7Y=")</f>
        <v>#VALUE!</v>
      </c>
      <c r="GB1" t="e">
        <f>AND('INÍCIO NO DOMINGO'!G12,"AAAAADq+t7c=")</f>
        <v>#VALUE!</v>
      </c>
      <c r="GC1" t="e">
        <f>AND('INÍCIO NO DOMINGO'!H12,"AAAAADq+t7g=")</f>
        <v>#VALUE!</v>
      </c>
      <c r="GD1" t="e">
        <f>AND('INÍCIO NO DOMINGO'!I12,"AAAAADq+t7k=")</f>
        <v>#VALUE!</v>
      </c>
      <c r="GE1" t="e">
        <f>AND('INÍCIO NO DOMINGO'!J12,"AAAAADq+t7o=")</f>
        <v>#VALUE!</v>
      </c>
      <c r="GF1" t="e">
        <f>AND('INÍCIO NO DOMINGO'!K12,"AAAAADq+t7s=")</f>
        <v>#VALUE!</v>
      </c>
      <c r="GG1" t="e">
        <f>AND('INÍCIO NO DOMINGO'!L12,"AAAAADq+t7w=")</f>
        <v>#VALUE!</v>
      </c>
      <c r="GH1" t="e">
        <f>AND('INÍCIO NO DOMINGO'!M12,"AAAAADq+t70=")</f>
        <v>#VALUE!</v>
      </c>
      <c r="GI1" t="e">
        <f>AND('INÍCIO NO DOMINGO'!N12,"AAAAADq+t74=")</f>
        <v>#VALUE!</v>
      </c>
      <c r="GJ1" t="e">
        <f>AND('INÍCIO NO DOMINGO'!O12,"AAAAADq+t78=")</f>
        <v>#VALUE!</v>
      </c>
      <c r="GK1">
        <f>IF('INÍCIO NO DOMINGO'!13:13,"AAAAADq+t8A=",0)</f>
        <v>0</v>
      </c>
      <c r="GL1" t="e">
        <f>AND('INÍCIO NO DOMINGO'!A13,"AAAAADq+t8E=")</f>
        <v>#VALUE!</v>
      </c>
      <c r="GM1" t="e">
        <f>AND('INÍCIO NO DOMINGO'!B13,"AAAAADq+t8I=")</f>
        <v>#VALUE!</v>
      </c>
      <c r="GN1" t="e">
        <f>AND('INÍCIO NO DOMINGO'!C13,"AAAAADq+t8M=")</f>
        <v>#VALUE!</v>
      </c>
      <c r="GO1" t="e">
        <f>AND('INÍCIO NO DOMINGO'!D13,"AAAAADq+t8Q=")</f>
        <v>#VALUE!</v>
      </c>
      <c r="GP1" t="e">
        <f>AND('INÍCIO NO DOMINGO'!E13,"AAAAADq+t8U=")</f>
        <v>#VALUE!</v>
      </c>
      <c r="GQ1" t="e">
        <f>AND('INÍCIO NO DOMINGO'!F13,"AAAAADq+t8Y=")</f>
        <v>#VALUE!</v>
      </c>
      <c r="GR1" t="e">
        <f>AND('INÍCIO NO DOMINGO'!G13,"AAAAADq+t8c=")</f>
        <v>#VALUE!</v>
      </c>
      <c r="GS1" t="e">
        <f>AND('INÍCIO NO DOMINGO'!H13,"AAAAADq+t8g=")</f>
        <v>#VALUE!</v>
      </c>
      <c r="GT1" t="e">
        <f>AND('INÍCIO NO DOMINGO'!I13,"AAAAADq+t8k=")</f>
        <v>#VALUE!</v>
      </c>
      <c r="GU1" t="e">
        <f>AND('INÍCIO NO DOMINGO'!J13,"AAAAADq+t8o=")</f>
        <v>#VALUE!</v>
      </c>
      <c r="GV1" t="e">
        <f>AND('INÍCIO NO DOMINGO'!K13,"AAAAADq+t8s=")</f>
        <v>#VALUE!</v>
      </c>
      <c r="GW1" t="e">
        <f>AND('INÍCIO NO DOMINGO'!L13,"AAAAADq+t8w=")</f>
        <v>#VALUE!</v>
      </c>
      <c r="GX1" t="e">
        <f>AND('INÍCIO NO DOMINGO'!M13,"AAAAADq+t80=")</f>
        <v>#VALUE!</v>
      </c>
      <c r="GY1" t="e">
        <f>AND('INÍCIO NO DOMINGO'!N13,"AAAAADq+t84=")</f>
        <v>#VALUE!</v>
      </c>
      <c r="GZ1" t="e">
        <f>AND('INÍCIO NO DOMINGO'!O13,"AAAAADq+t88=")</f>
        <v>#VALUE!</v>
      </c>
      <c r="HA1">
        <f>IF('INÍCIO NO DOMINGO'!14:14,"AAAAADq+t9A=",0)</f>
        <v>0</v>
      </c>
      <c r="HB1">
        <f>IF('INÍCIO NO DOMINGO'!15:15,"AAAAADq+t9E=",0)</f>
        <v>0</v>
      </c>
      <c r="HC1">
        <f>IF('INÍCIO NO DOMINGO'!16:16,"AAAAADq+t9I=",0)</f>
        <v>0</v>
      </c>
      <c r="HD1">
        <f>IF('INÍCIO NO DOMINGO'!A:A,"AAAAADq+t9M=",0)</f>
        <v>0</v>
      </c>
      <c r="HE1">
        <f>IF('INÍCIO NO DOMINGO'!B:B,"AAAAADq+t9Q=",0)</f>
        <v>0</v>
      </c>
      <c r="HF1">
        <f>IF('INÍCIO NO DOMINGO'!C:C,"AAAAADq+t9U=",0)</f>
        <v>0</v>
      </c>
      <c r="HG1">
        <f>IF('INÍCIO NO DOMINGO'!D:D,"AAAAADq+t9Y=",0)</f>
        <v>0</v>
      </c>
      <c r="HH1">
        <f>IF('INÍCIO NO DOMINGO'!E:E,"AAAAADq+t9c=",0)</f>
        <v>0</v>
      </c>
      <c r="HI1">
        <f>IF('INÍCIO NO DOMINGO'!F:F,"AAAAADq+t9g=",0)</f>
        <v>0</v>
      </c>
      <c r="HJ1">
        <f>IF('INÍCIO NO DOMINGO'!G:G,"AAAAADq+t9k=",0)</f>
        <v>0</v>
      </c>
      <c r="HK1">
        <f>IF('INÍCIO NO DOMINGO'!H:H,"AAAAADq+t9o=",0)</f>
        <v>0</v>
      </c>
      <c r="HL1">
        <f>IF('INÍCIO NO DOMINGO'!I:I,"AAAAADq+t9s=",0)</f>
        <v>0</v>
      </c>
      <c r="HM1">
        <f>IF('INÍCIO NO DOMINGO'!J:J,"AAAAADq+t9w=",0)</f>
        <v>0</v>
      </c>
      <c r="HN1">
        <f>IF('INÍCIO NO DOMINGO'!K:K,"AAAAADq+t90=",0)</f>
        <v>0</v>
      </c>
      <c r="HO1">
        <f>IF('INÍCIO NO DOMINGO'!L:L,"AAAAADq+t94=",0)</f>
        <v>0</v>
      </c>
      <c r="HP1">
        <f>IF('INÍCIO NO DOMINGO'!M:M,"AAAAADq+t98=",0)</f>
        <v>0</v>
      </c>
      <c r="HQ1">
        <f>IF('INÍCIO NO DOMINGO'!N:N,"AAAAADq+t+A=",0)</f>
        <v>0</v>
      </c>
      <c r="HR1">
        <f>IF('INÍCIO NO DOMINGO'!O:O,"AAAAADq+t+E=",0)</f>
        <v>0</v>
      </c>
      <c r="HS1">
        <f>IF('INÍCIO NO DOMINGO CONTÍNUO'!1:1,"AAAAADq+t+I=",0)</f>
        <v>0</v>
      </c>
      <c r="HT1" t="e">
        <f>AND('INÍCIO NO DOMINGO CONTÍNUO'!A1,"AAAAADq+t+M=")</f>
        <v>#VALUE!</v>
      </c>
      <c r="HU1" t="e">
        <f>AND('INÍCIO NO DOMINGO CONTÍNUO'!B1,"AAAAADq+t+Q=")</f>
        <v>#VALUE!</v>
      </c>
      <c r="HV1" t="e">
        <f>AND('INÍCIO NO DOMINGO CONTÍNUO'!C1,"AAAAADq+t+U=")</f>
        <v>#VALUE!</v>
      </c>
      <c r="HW1" t="e">
        <f>AND('INÍCIO NO DOMINGO CONTÍNUO'!D1,"AAAAADq+t+Y=")</f>
        <v>#VALUE!</v>
      </c>
      <c r="HX1" t="e">
        <f>AND('INÍCIO NO DOMINGO CONTÍNUO'!E1,"AAAAADq+t+c=")</f>
        <v>#VALUE!</v>
      </c>
      <c r="HY1" t="e">
        <f>AND('INÍCIO NO DOMINGO CONTÍNUO'!F1,"AAAAADq+t+g=")</f>
        <v>#VALUE!</v>
      </c>
      <c r="HZ1" t="e">
        <f>AND('INÍCIO NO DOMINGO CONTÍNUO'!G1,"AAAAADq+t+k=")</f>
        <v>#VALUE!</v>
      </c>
      <c r="IA1" t="e">
        <f>AND('INÍCIO NO DOMINGO CONTÍNUO'!H1,"AAAAADq+t+o=")</f>
        <v>#VALUE!</v>
      </c>
      <c r="IB1" t="e">
        <f>AND('INÍCIO NO DOMINGO CONTÍNUO'!I1,"AAAAADq+t+s=")</f>
        <v>#VALUE!</v>
      </c>
      <c r="IC1" t="e">
        <f>AND('INÍCIO NO DOMINGO CONTÍNUO'!J1,"AAAAADq+t+w=")</f>
        <v>#VALUE!</v>
      </c>
      <c r="ID1" t="e">
        <f>AND('INÍCIO NO DOMINGO CONTÍNUO'!K1,"AAAAADq+t+0=")</f>
        <v>#VALUE!</v>
      </c>
      <c r="IE1" t="e">
        <f>AND('INÍCIO NO DOMINGO CONTÍNUO'!L1,"AAAAADq+t+4=")</f>
        <v>#VALUE!</v>
      </c>
      <c r="IF1" t="e">
        <f>AND('INÍCIO NO DOMINGO CONTÍNUO'!M1,"AAAAADq+t+8=")</f>
        <v>#VALUE!</v>
      </c>
      <c r="IG1" t="e">
        <f>AND('INÍCIO NO DOMINGO CONTÍNUO'!N1,"AAAAADq+t/A=")</f>
        <v>#VALUE!</v>
      </c>
      <c r="IH1" t="e">
        <f>AND('INÍCIO NO DOMINGO CONTÍNUO'!O1,"AAAAADq+t/E=")</f>
        <v>#VALUE!</v>
      </c>
      <c r="II1">
        <f>IF('INÍCIO NO DOMINGO CONTÍNUO'!2:2,"AAAAADq+t/I=",0)</f>
        <v>0</v>
      </c>
      <c r="IJ1" t="e">
        <f>AND('INÍCIO NO DOMINGO CONTÍNUO'!A2,"AAAAADq+t/M=")</f>
        <v>#VALUE!</v>
      </c>
      <c r="IK1" t="e">
        <f>AND('INÍCIO NO DOMINGO CONTÍNUO'!B2,"AAAAADq+t/Q=")</f>
        <v>#VALUE!</v>
      </c>
      <c r="IL1" t="e">
        <f>AND('INÍCIO NO DOMINGO CONTÍNUO'!C2,"AAAAADq+t/U=")</f>
        <v>#VALUE!</v>
      </c>
      <c r="IM1" t="e">
        <f>AND('INÍCIO NO DOMINGO CONTÍNUO'!D2,"AAAAADq+t/Y=")</f>
        <v>#VALUE!</v>
      </c>
      <c r="IN1" t="e">
        <f>AND('INÍCIO NO DOMINGO CONTÍNUO'!E2,"AAAAADq+t/c=")</f>
        <v>#VALUE!</v>
      </c>
      <c r="IO1" t="e">
        <f>AND('INÍCIO NO DOMINGO CONTÍNUO'!F2,"AAAAADq+t/g=")</f>
        <v>#VALUE!</v>
      </c>
      <c r="IP1" t="e">
        <f>AND('INÍCIO NO DOMINGO CONTÍNUO'!G2,"AAAAADq+t/k=")</f>
        <v>#VALUE!</v>
      </c>
      <c r="IQ1" t="e">
        <f>AND('INÍCIO NO DOMINGO CONTÍNUO'!H2,"AAAAADq+t/o=")</f>
        <v>#VALUE!</v>
      </c>
      <c r="IR1" t="e">
        <f>AND('INÍCIO NO DOMINGO CONTÍNUO'!I2,"AAAAADq+t/s=")</f>
        <v>#VALUE!</v>
      </c>
      <c r="IS1" t="e">
        <f>AND('INÍCIO NO DOMINGO CONTÍNUO'!J2,"AAAAADq+t/w=")</f>
        <v>#VALUE!</v>
      </c>
      <c r="IT1" t="e">
        <f>AND('INÍCIO NO DOMINGO CONTÍNUO'!K2,"AAAAADq+t/0=")</f>
        <v>#VALUE!</v>
      </c>
      <c r="IU1" t="e">
        <f>AND('INÍCIO NO DOMINGO CONTÍNUO'!L2,"AAAAADq+t/4=")</f>
        <v>#VALUE!</v>
      </c>
      <c r="IV1" t="e">
        <f>AND('INÍCIO NO DOMINGO CONTÍNUO'!M2,"AAAAADq+t/8=")</f>
        <v>#VALUE!</v>
      </c>
    </row>
    <row r="2" spans="1:256" x14ac:dyDescent="0.3">
      <c r="A2" t="e">
        <f>AND('INÍCIO NO DOMINGO CONTÍNUO'!N2,"AAAAAEs77AA=")</f>
        <v>#VALUE!</v>
      </c>
      <c r="B2" t="e">
        <f>AND('INÍCIO NO DOMINGO CONTÍNUO'!O2,"AAAAAEs77AE=")</f>
        <v>#VALUE!</v>
      </c>
      <c r="C2">
        <f>IF('INÍCIO NO DOMINGO CONTÍNUO'!3:3,"AAAAAEs77AI=",0)</f>
        <v>0</v>
      </c>
      <c r="D2" t="e">
        <f>AND('INÍCIO NO DOMINGO CONTÍNUO'!A3,"AAAAAEs77AM=")</f>
        <v>#VALUE!</v>
      </c>
      <c r="E2" t="e">
        <f>AND('INÍCIO NO DOMINGO CONTÍNUO'!B3,"AAAAAEs77AQ=")</f>
        <v>#VALUE!</v>
      </c>
      <c r="F2" t="e">
        <f>AND('INÍCIO NO DOMINGO CONTÍNUO'!C3,"AAAAAEs77AU=")</f>
        <v>#VALUE!</v>
      </c>
      <c r="G2" t="e">
        <f>AND('INÍCIO NO DOMINGO CONTÍNUO'!D3,"AAAAAEs77AY=")</f>
        <v>#VALUE!</v>
      </c>
      <c r="H2" t="e">
        <f>AND('INÍCIO NO DOMINGO CONTÍNUO'!E3,"AAAAAEs77Ac=")</f>
        <v>#VALUE!</v>
      </c>
      <c r="I2" t="e">
        <f>AND('INÍCIO NO DOMINGO CONTÍNUO'!F3,"AAAAAEs77Ag=")</f>
        <v>#VALUE!</v>
      </c>
      <c r="J2" t="e">
        <f>AND('INÍCIO NO DOMINGO CONTÍNUO'!G3,"AAAAAEs77Ak=")</f>
        <v>#VALUE!</v>
      </c>
      <c r="K2" t="e">
        <f>AND('INÍCIO NO DOMINGO CONTÍNUO'!H3,"AAAAAEs77Ao=")</f>
        <v>#VALUE!</v>
      </c>
      <c r="L2" t="e">
        <f>AND('INÍCIO NO DOMINGO CONTÍNUO'!I3,"AAAAAEs77As=")</f>
        <v>#VALUE!</v>
      </c>
      <c r="M2" t="e">
        <f>AND('INÍCIO NO DOMINGO CONTÍNUO'!J3,"AAAAAEs77Aw=")</f>
        <v>#VALUE!</v>
      </c>
      <c r="N2" t="e">
        <f>AND('INÍCIO NO DOMINGO CONTÍNUO'!K3,"AAAAAEs77A0=")</f>
        <v>#VALUE!</v>
      </c>
      <c r="O2" t="e">
        <f>AND('INÍCIO NO DOMINGO CONTÍNUO'!L3,"AAAAAEs77A4=")</f>
        <v>#VALUE!</v>
      </c>
      <c r="P2" t="e">
        <f>AND('INÍCIO NO DOMINGO CONTÍNUO'!M3,"AAAAAEs77A8=")</f>
        <v>#VALUE!</v>
      </c>
      <c r="Q2" t="e">
        <f>AND('INÍCIO NO DOMINGO CONTÍNUO'!N3,"AAAAAEs77BA=")</f>
        <v>#VALUE!</v>
      </c>
      <c r="R2" t="e">
        <f>AND('INÍCIO NO DOMINGO CONTÍNUO'!O3,"AAAAAEs77BE=")</f>
        <v>#VALUE!</v>
      </c>
      <c r="S2">
        <f>IF('INÍCIO NO DOMINGO CONTÍNUO'!4:4,"AAAAAEs77BI=",0)</f>
        <v>0</v>
      </c>
      <c r="T2" t="e">
        <f>AND('INÍCIO NO DOMINGO CONTÍNUO'!A4,"AAAAAEs77BM=")</f>
        <v>#VALUE!</v>
      </c>
      <c r="U2" t="e">
        <f>AND('INÍCIO NO DOMINGO CONTÍNUO'!B4,"AAAAAEs77BQ=")</f>
        <v>#VALUE!</v>
      </c>
      <c r="V2" t="e">
        <f>AND('INÍCIO NO DOMINGO CONTÍNUO'!C4,"AAAAAEs77BU=")</f>
        <v>#VALUE!</v>
      </c>
      <c r="W2" t="e">
        <f>AND('INÍCIO NO DOMINGO CONTÍNUO'!D4,"AAAAAEs77BY=")</f>
        <v>#VALUE!</v>
      </c>
      <c r="X2" t="e">
        <f>AND('INÍCIO NO DOMINGO CONTÍNUO'!E4,"AAAAAEs77Bc=")</f>
        <v>#VALUE!</v>
      </c>
      <c r="Y2" t="e">
        <f>AND('INÍCIO NO DOMINGO CONTÍNUO'!F4,"AAAAAEs77Bg=")</f>
        <v>#VALUE!</v>
      </c>
      <c r="Z2" t="e">
        <f>AND('INÍCIO NO DOMINGO CONTÍNUO'!G4,"AAAAAEs77Bk=")</f>
        <v>#VALUE!</v>
      </c>
      <c r="AA2" t="e">
        <f>AND('INÍCIO NO DOMINGO CONTÍNUO'!H4,"AAAAAEs77Bo=")</f>
        <v>#VALUE!</v>
      </c>
      <c r="AB2" t="e">
        <f>AND('INÍCIO NO DOMINGO CONTÍNUO'!I4,"AAAAAEs77Bs=")</f>
        <v>#VALUE!</v>
      </c>
      <c r="AC2" t="e">
        <f>AND('INÍCIO NO DOMINGO CONTÍNUO'!J4,"AAAAAEs77Bw=")</f>
        <v>#VALUE!</v>
      </c>
      <c r="AD2" t="e">
        <f>AND('INÍCIO NO DOMINGO CONTÍNUO'!K4,"AAAAAEs77B0=")</f>
        <v>#VALUE!</v>
      </c>
      <c r="AE2" t="e">
        <f>AND('INÍCIO NO DOMINGO CONTÍNUO'!L4,"AAAAAEs77B4=")</f>
        <v>#VALUE!</v>
      </c>
      <c r="AF2" t="e">
        <f>AND('INÍCIO NO DOMINGO CONTÍNUO'!M4,"AAAAAEs77B8=")</f>
        <v>#VALUE!</v>
      </c>
      <c r="AG2" t="e">
        <f>AND('INÍCIO NO DOMINGO CONTÍNUO'!N4,"AAAAAEs77CA=")</f>
        <v>#VALUE!</v>
      </c>
      <c r="AH2" t="e">
        <f>AND('INÍCIO NO DOMINGO CONTÍNUO'!O4,"AAAAAEs77CE=")</f>
        <v>#VALUE!</v>
      </c>
      <c r="AI2">
        <f>IF('INÍCIO NO DOMINGO CONTÍNUO'!5:5,"AAAAAEs77CI=",0)</f>
        <v>0</v>
      </c>
      <c r="AJ2" t="e">
        <f>AND('INÍCIO NO DOMINGO CONTÍNUO'!A5,"AAAAAEs77CM=")</f>
        <v>#VALUE!</v>
      </c>
      <c r="AK2" t="e">
        <f>AND('INÍCIO NO DOMINGO CONTÍNUO'!B5,"AAAAAEs77CQ=")</f>
        <v>#VALUE!</v>
      </c>
      <c r="AL2" t="e">
        <f>AND('INÍCIO NO DOMINGO CONTÍNUO'!C5,"AAAAAEs77CU=")</f>
        <v>#VALUE!</v>
      </c>
      <c r="AM2" t="e">
        <f>AND('INÍCIO NO DOMINGO CONTÍNUO'!D5,"AAAAAEs77CY=")</f>
        <v>#VALUE!</v>
      </c>
      <c r="AN2" t="e">
        <f>AND('INÍCIO NO DOMINGO CONTÍNUO'!E5,"AAAAAEs77Cc=")</f>
        <v>#VALUE!</v>
      </c>
      <c r="AO2" t="e">
        <f>AND('INÍCIO NO DOMINGO CONTÍNUO'!F5,"AAAAAEs77Cg=")</f>
        <v>#VALUE!</v>
      </c>
      <c r="AP2" t="e">
        <f>AND('INÍCIO NO DOMINGO CONTÍNUO'!G5,"AAAAAEs77Ck=")</f>
        <v>#VALUE!</v>
      </c>
      <c r="AQ2" t="e">
        <f>AND('INÍCIO NO DOMINGO CONTÍNUO'!H5,"AAAAAEs77Co=")</f>
        <v>#VALUE!</v>
      </c>
      <c r="AR2" t="e">
        <f>AND('INÍCIO NO DOMINGO CONTÍNUO'!I5,"AAAAAEs77Cs=")</f>
        <v>#VALUE!</v>
      </c>
      <c r="AS2" t="e">
        <f>AND('INÍCIO NO DOMINGO CONTÍNUO'!J5,"AAAAAEs77Cw=")</f>
        <v>#VALUE!</v>
      </c>
      <c r="AT2" t="e">
        <f>AND('INÍCIO NO DOMINGO CONTÍNUO'!K5,"AAAAAEs77C0=")</f>
        <v>#VALUE!</v>
      </c>
      <c r="AU2" t="e">
        <f>AND('INÍCIO NO DOMINGO CONTÍNUO'!L5,"AAAAAEs77C4=")</f>
        <v>#VALUE!</v>
      </c>
      <c r="AV2" t="e">
        <f>AND('INÍCIO NO DOMINGO CONTÍNUO'!M5,"AAAAAEs77C8=")</f>
        <v>#VALUE!</v>
      </c>
      <c r="AW2" t="e">
        <f>AND('INÍCIO NO DOMINGO CONTÍNUO'!N5,"AAAAAEs77DA=")</f>
        <v>#VALUE!</v>
      </c>
      <c r="AX2" t="e">
        <f>AND('INÍCIO NO DOMINGO CONTÍNUO'!O5,"AAAAAEs77DE=")</f>
        <v>#VALUE!</v>
      </c>
      <c r="AY2">
        <f>IF('INÍCIO NO DOMINGO CONTÍNUO'!6:6,"AAAAAEs77DI=",0)</f>
        <v>0</v>
      </c>
      <c r="AZ2" t="e">
        <f>AND('INÍCIO NO DOMINGO CONTÍNUO'!A6,"AAAAAEs77DM=")</f>
        <v>#VALUE!</v>
      </c>
      <c r="BA2" t="e">
        <f>AND('INÍCIO NO DOMINGO CONTÍNUO'!B6,"AAAAAEs77DQ=")</f>
        <v>#VALUE!</v>
      </c>
      <c r="BB2" t="e">
        <f>AND('INÍCIO NO DOMINGO CONTÍNUO'!C6,"AAAAAEs77DU=")</f>
        <v>#VALUE!</v>
      </c>
      <c r="BC2" t="e">
        <f>AND('INÍCIO NO DOMINGO CONTÍNUO'!D6,"AAAAAEs77DY=")</f>
        <v>#VALUE!</v>
      </c>
      <c r="BD2" t="e">
        <f>AND('INÍCIO NO DOMINGO CONTÍNUO'!E6,"AAAAAEs77Dc=")</f>
        <v>#VALUE!</v>
      </c>
      <c r="BE2" t="e">
        <f>AND('INÍCIO NO DOMINGO CONTÍNUO'!F6,"AAAAAEs77Dg=")</f>
        <v>#VALUE!</v>
      </c>
      <c r="BF2" t="e">
        <f>AND('INÍCIO NO DOMINGO CONTÍNUO'!G6,"AAAAAEs77Dk=")</f>
        <v>#VALUE!</v>
      </c>
      <c r="BG2" t="e">
        <f>AND('INÍCIO NO DOMINGO CONTÍNUO'!H6,"AAAAAEs77Do=")</f>
        <v>#VALUE!</v>
      </c>
      <c r="BH2" t="e">
        <f>AND('INÍCIO NO DOMINGO CONTÍNUO'!I6,"AAAAAEs77Ds=")</f>
        <v>#VALUE!</v>
      </c>
      <c r="BI2" t="e">
        <f>AND('INÍCIO NO DOMINGO CONTÍNUO'!J6,"AAAAAEs77Dw=")</f>
        <v>#VALUE!</v>
      </c>
      <c r="BJ2" t="e">
        <f>AND('INÍCIO NO DOMINGO CONTÍNUO'!K6,"AAAAAEs77D0=")</f>
        <v>#VALUE!</v>
      </c>
      <c r="BK2" t="e">
        <f>AND('INÍCIO NO DOMINGO CONTÍNUO'!L6,"AAAAAEs77D4=")</f>
        <v>#VALUE!</v>
      </c>
      <c r="BL2" t="e">
        <f>AND('INÍCIO NO DOMINGO CONTÍNUO'!M6,"AAAAAEs77D8=")</f>
        <v>#VALUE!</v>
      </c>
      <c r="BM2" t="e">
        <f>AND('INÍCIO NO DOMINGO CONTÍNUO'!N6,"AAAAAEs77EA=")</f>
        <v>#VALUE!</v>
      </c>
      <c r="BN2" t="e">
        <f>AND('INÍCIO NO DOMINGO CONTÍNUO'!O6,"AAAAAEs77EE=")</f>
        <v>#VALUE!</v>
      </c>
      <c r="BO2">
        <f>IF('INÍCIO NO DOMINGO CONTÍNUO'!7:7,"AAAAAEs77EI=",0)</f>
        <v>0</v>
      </c>
      <c r="BP2" t="e">
        <f>AND('INÍCIO NO DOMINGO CONTÍNUO'!A7,"AAAAAEs77EM=")</f>
        <v>#VALUE!</v>
      </c>
      <c r="BQ2" t="e">
        <f>AND('INÍCIO NO DOMINGO CONTÍNUO'!B7,"AAAAAEs77EQ=")</f>
        <v>#VALUE!</v>
      </c>
      <c r="BR2" t="e">
        <f>AND('INÍCIO NO DOMINGO CONTÍNUO'!C7,"AAAAAEs77EU=")</f>
        <v>#VALUE!</v>
      </c>
      <c r="BS2" t="e">
        <f>AND('INÍCIO NO DOMINGO CONTÍNUO'!D7,"AAAAAEs77EY=")</f>
        <v>#VALUE!</v>
      </c>
      <c r="BT2" t="e">
        <f>AND('INÍCIO NO DOMINGO CONTÍNUO'!E7,"AAAAAEs77Ec=")</f>
        <v>#VALUE!</v>
      </c>
      <c r="BU2" t="e">
        <f>AND('INÍCIO NO DOMINGO CONTÍNUO'!F7,"AAAAAEs77Eg=")</f>
        <v>#VALUE!</v>
      </c>
      <c r="BV2" t="e">
        <f>AND('INÍCIO NO DOMINGO CONTÍNUO'!G7,"AAAAAEs77Ek=")</f>
        <v>#VALUE!</v>
      </c>
      <c r="BW2" t="e">
        <f>AND('INÍCIO NO DOMINGO CONTÍNUO'!H7,"AAAAAEs77Eo=")</f>
        <v>#VALUE!</v>
      </c>
      <c r="BX2" t="e">
        <f>AND('INÍCIO NO DOMINGO CONTÍNUO'!I7,"AAAAAEs77Es=")</f>
        <v>#VALUE!</v>
      </c>
      <c r="BY2" t="e">
        <f>AND('INÍCIO NO DOMINGO CONTÍNUO'!J7,"AAAAAEs77Ew=")</f>
        <v>#VALUE!</v>
      </c>
      <c r="BZ2" t="e">
        <f>AND('INÍCIO NO DOMINGO CONTÍNUO'!K7,"AAAAAEs77E0=")</f>
        <v>#VALUE!</v>
      </c>
      <c r="CA2" t="e">
        <f>AND('INÍCIO NO DOMINGO CONTÍNUO'!L7,"AAAAAEs77E4=")</f>
        <v>#VALUE!</v>
      </c>
      <c r="CB2" t="e">
        <f>AND('INÍCIO NO DOMINGO CONTÍNUO'!M7,"AAAAAEs77E8=")</f>
        <v>#VALUE!</v>
      </c>
      <c r="CC2" t="e">
        <f>AND('INÍCIO NO DOMINGO CONTÍNUO'!N7,"AAAAAEs77FA=")</f>
        <v>#VALUE!</v>
      </c>
      <c r="CD2" t="e">
        <f>AND('INÍCIO NO DOMINGO CONTÍNUO'!O7,"AAAAAEs77FE=")</f>
        <v>#VALUE!</v>
      </c>
      <c r="CE2">
        <f>IF('INÍCIO NO DOMINGO CONTÍNUO'!8:8,"AAAAAEs77FI=",0)</f>
        <v>0</v>
      </c>
      <c r="CF2" t="e">
        <f>AND('INÍCIO NO DOMINGO CONTÍNUO'!A8,"AAAAAEs77FM=")</f>
        <v>#VALUE!</v>
      </c>
      <c r="CG2" t="e">
        <f>AND('INÍCIO NO DOMINGO CONTÍNUO'!B8,"AAAAAEs77FQ=")</f>
        <v>#VALUE!</v>
      </c>
      <c r="CH2" t="e">
        <f>AND('INÍCIO NO DOMINGO CONTÍNUO'!C8,"AAAAAEs77FU=")</f>
        <v>#VALUE!</v>
      </c>
      <c r="CI2" t="e">
        <f>AND('INÍCIO NO DOMINGO CONTÍNUO'!D8,"AAAAAEs77FY=")</f>
        <v>#VALUE!</v>
      </c>
      <c r="CJ2" t="e">
        <f>AND('INÍCIO NO DOMINGO CONTÍNUO'!E8,"AAAAAEs77Fc=")</f>
        <v>#VALUE!</v>
      </c>
      <c r="CK2" t="e">
        <f>AND('INÍCIO NO DOMINGO CONTÍNUO'!F8,"AAAAAEs77Fg=")</f>
        <v>#VALUE!</v>
      </c>
      <c r="CL2" t="e">
        <f>AND('INÍCIO NO DOMINGO CONTÍNUO'!G8,"AAAAAEs77Fk=")</f>
        <v>#VALUE!</v>
      </c>
      <c r="CM2" t="e">
        <f>AND('INÍCIO NO DOMINGO CONTÍNUO'!H8,"AAAAAEs77Fo=")</f>
        <v>#VALUE!</v>
      </c>
      <c r="CN2" t="e">
        <f>AND('INÍCIO NO DOMINGO CONTÍNUO'!I8,"AAAAAEs77Fs=")</f>
        <v>#VALUE!</v>
      </c>
      <c r="CO2" t="e">
        <f>AND('INÍCIO NO DOMINGO CONTÍNUO'!J8,"AAAAAEs77Fw=")</f>
        <v>#VALUE!</v>
      </c>
      <c r="CP2" t="e">
        <f>AND('INÍCIO NO DOMINGO CONTÍNUO'!K8,"AAAAAEs77F0=")</f>
        <v>#VALUE!</v>
      </c>
      <c r="CQ2" t="e">
        <f>AND('INÍCIO NO DOMINGO CONTÍNUO'!L8,"AAAAAEs77F4=")</f>
        <v>#VALUE!</v>
      </c>
      <c r="CR2" t="e">
        <f>AND('INÍCIO NO DOMINGO CONTÍNUO'!M8,"AAAAAEs77F8=")</f>
        <v>#VALUE!</v>
      </c>
      <c r="CS2" t="e">
        <f>AND('INÍCIO NO DOMINGO CONTÍNUO'!N8,"AAAAAEs77GA=")</f>
        <v>#VALUE!</v>
      </c>
      <c r="CT2" t="e">
        <f>AND('INÍCIO NO DOMINGO CONTÍNUO'!O8,"AAAAAEs77GE=")</f>
        <v>#VALUE!</v>
      </c>
      <c r="CU2">
        <f>IF('INÍCIO NO DOMINGO CONTÍNUO'!9:9,"AAAAAEs77GI=",0)</f>
        <v>0</v>
      </c>
      <c r="CV2" t="e">
        <f>AND('INÍCIO NO DOMINGO CONTÍNUO'!A9,"AAAAAEs77GM=")</f>
        <v>#VALUE!</v>
      </c>
      <c r="CW2" t="e">
        <f>AND('INÍCIO NO DOMINGO CONTÍNUO'!B9,"AAAAAEs77GQ=")</f>
        <v>#VALUE!</v>
      </c>
      <c r="CX2" t="e">
        <f>AND('INÍCIO NO DOMINGO CONTÍNUO'!C9,"AAAAAEs77GU=")</f>
        <v>#VALUE!</v>
      </c>
      <c r="CY2" t="e">
        <f>AND('INÍCIO NO DOMINGO CONTÍNUO'!D9,"AAAAAEs77GY=")</f>
        <v>#VALUE!</v>
      </c>
      <c r="CZ2" t="e">
        <f>AND('INÍCIO NO DOMINGO CONTÍNUO'!E9,"AAAAAEs77Gc=")</f>
        <v>#VALUE!</v>
      </c>
      <c r="DA2" t="e">
        <f>AND('INÍCIO NO DOMINGO CONTÍNUO'!F9,"AAAAAEs77Gg=")</f>
        <v>#VALUE!</v>
      </c>
      <c r="DB2" t="e">
        <f>AND('INÍCIO NO DOMINGO CONTÍNUO'!G9,"AAAAAEs77Gk=")</f>
        <v>#VALUE!</v>
      </c>
      <c r="DC2" t="e">
        <f>AND('INÍCIO NO DOMINGO CONTÍNUO'!H9,"AAAAAEs77Go=")</f>
        <v>#VALUE!</v>
      </c>
      <c r="DD2" t="e">
        <f>AND('INÍCIO NO DOMINGO CONTÍNUO'!I9,"AAAAAEs77Gs=")</f>
        <v>#VALUE!</v>
      </c>
      <c r="DE2" t="e">
        <f>AND('INÍCIO NO DOMINGO CONTÍNUO'!J9,"AAAAAEs77Gw=")</f>
        <v>#VALUE!</v>
      </c>
      <c r="DF2" t="e">
        <f>AND('INÍCIO NO DOMINGO CONTÍNUO'!K9,"AAAAAEs77G0=")</f>
        <v>#VALUE!</v>
      </c>
      <c r="DG2" t="e">
        <f>AND('INÍCIO NO DOMINGO CONTÍNUO'!L9,"AAAAAEs77G4=")</f>
        <v>#VALUE!</v>
      </c>
      <c r="DH2" t="e">
        <f>AND('INÍCIO NO DOMINGO CONTÍNUO'!M9,"AAAAAEs77G8=")</f>
        <v>#VALUE!</v>
      </c>
      <c r="DI2" t="e">
        <f>AND('INÍCIO NO DOMINGO CONTÍNUO'!N9,"AAAAAEs77HA=")</f>
        <v>#VALUE!</v>
      </c>
      <c r="DJ2" t="e">
        <f>AND('INÍCIO NO DOMINGO CONTÍNUO'!O9,"AAAAAEs77HE=")</f>
        <v>#VALUE!</v>
      </c>
      <c r="DK2">
        <f>IF('INÍCIO NO DOMINGO CONTÍNUO'!10:10,"AAAAAEs77HI=",0)</f>
        <v>0</v>
      </c>
      <c r="DL2" t="e">
        <f>AND('INÍCIO NO DOMINGO CONTÍNUO'!A10,"AAAAAEs77HM=")</f>
        <v>#VALUE!</v>
      </c>
      <c r="DM2" t="e">
        <f>AND('INÍCIO NO DOMINGO CONTÍNUO'!B10,"AAAAAEs77HQ=")</f>
        <v>#VALUE!</v>
      </c>
      <c r="DN2" t="e">
        <f>AND('INÍCIO NO DOMINGO CONTÍNUO'!C10,"AAAAAEs77HU=")</f>
        <v>#VALUE!</v>
      </c>
      <c r="DO2" t="e">
        <f>AND('INÍCIO NO DOMINGO CONTÍNUO'!D10,"AAAAAEs77HY=")</f>
        <v>#VALUE!</v>
      </c>
      <c r="DP2" t="e">
        <f>AND('INÍCIO NO DOMINGO CONTÍNUO'!E10,"AAAAAEs77Hc=")</f>
        <v>#VALUE!</v>
      </c>
      <c r="DQ2" t="e">
        <f>AND('INÍCIO NO DOMINGO CONTÍNUO'!F10,"AAAAAEs77Hg=")</f>
        <v>#VALUE!</v>
      </c>
      <c r="DR2" t="e">
        <f>AND('INÍCIO NO DOMINGO CONTÍNUO'!G10,"AAAAAEs77Hk=")</f>
        <v>#VALUE!</v>
      </c>
      <c r="DS2" t="e">
        <f>AND('INÍCIO NO DOMINGO CONTÍNUO'!H10,"AAAAAEs77Ho=")</f>
        <v>#VALUE!</v>
      </c>
      <c r="DT2" t="e">
        <f>AND('INÍCIO NO DOMINGO CONTÍNUO'!I10,"AAAAAEs77Hs=")</f>
        <v>#VALUE!</v>
      </c>
      <c r="DU2" t="e">
        <f>AND('INÍCIO NO DOMINGO CONTÍNUO'!J10,"AAAAAEs77Hw=")</f>
        <v>#VALUE!</v>
      </c>
      <c r="DV2" t="e">
        <f>AND('INÍCIO NO DOMINGO CONTÍNUO'!K10,"AAAAAEs77H0=")</f>
        <v>#VALUE!</v>
      </c>
      <c r="DW2" t="e">
        <f>AND('INÍCIO NO DOMINGO CONTÍNUO'!L10,"AAAAAEs77H4=")</f>
        <v>#VALUE!</v>
      </c>
      <c r="DX2" t="e">
        <f>AND('INÍCIO NO DOMINGO CONTÍNUO'!M10,"AAAAAEs77H8=")</f>
        <v>#VALUE!</v>
      </c>
      <c r="DY2" t="e">
        <f>AND('INÍCIO NO DOMINGO CONTÍNUO'!N10,"AAAAAEs77IA=")</f>
        <v>#VALUE!</v>
      </c>
      <c r="DZ2" t="e">
        <f>AND('INÍCIO NO DOMINGO CONTÍNUO'!O10,"AAAAAEs77IE=")</f>
        <v>#VALUE!</v>
      </c>
      <c r="EA2">
        <f>IF('INÍCIO NO DOMINGO CONTÍNUO'!11:11,"AAAAAEs77II=",0)</f>
        <v>0</v>
      </c>
      <c r="EB2" t="e">
        <f>AND('INÍCIO NO DOMINGO CONTÍNUO'!A11,"AAAAAEs77IM=")</f>
        <v>#VALUE!</v>
      </c>
      <c r="EC2" t="e">
        <f>AND('INÍCIO NO DOMINGO CONTÍNUO'!B11,"AAAAAEs77IQ=")</f>
        <v>#VALUE!</v>
      </c>
      <c r="ED2" t="e">
        <f>AND('INÍCIO NO DOMINGO CONTÍNUO'!C11,"AAAAAEs77IU=")</f>
        <v>#VALUE!</v>
      </c>
      <c r="EE2" t="e">
        <f>AND('INÍCIO NO DOMINGO CONTÍNUO'!D11,"AAAAAEs77IY=")</f>
        <v>#VALUE!</v>
      </c>
      <c r="EF2" t="e">
        <f>AND('INÍCIO NO DOMINGO CONTÍNUO'!E11,"AAAAAEs77Ic=")</f>
        <v>#VALUE!</v>
      </c>
      <c r="EG2" t="e">
        <f>AND('INÍCIO NO DOMINGO CONTÍNUO'!F11,"AAAAAEs77Ig=")</f>
        <v>#VALUE!</v>
      </c>
      <c r="EH2" t="e">
        <f>AND('INÍCIO NO DOMINGO CONTÍNUO'!G11,"AAAAAEs77Ik=")</f>
        <v>#VALUE!</v>
      </c>
      <c r="EI2" t="e">
        <f>AND('INÍCIO NO DOMINGO CONTÍNUO'!H11,"AAAAAEs77Io=")</f>
        <v>#VALUE!</v>
      </c>
      <c r="EJ2" t="e">
        <f>AND('INÍCIO NO DOMINGO CONTÍNUO'!I11,"AAAAAEs77Is=")</f>
        <v>#VALUE!</v>
      </c>
      <c r="EK2" t="e">
        <f>AND('INÍCIO NO DOMINGO CONTÍNUO'!J11,"AAAAAEs77Iw=")</f>
        <v>#VALUE!</v>
      </c>
      <c r="EL2" t="e">
        <f>AND('INÍCIO NO DOMINGO CONTÍNUO'!K11,"AAAAAEs77I0=")</f>
        <v>#VALUE!</v>
      </c>
      <c r="EM2" t="e">
        <f>AND('INÍCIO NO DOMINGO CONTÍNUO'!L11,"AAAAAEs77I4=")</f>
        <v>#VALUE!</v>
      </c>
      <c r="EN2" t="e">
        <f>AND('INÍCIO NO DOMINGO CONTÍNUO'!M11,"AAAAAEs77I8=")</f>
        <v>#VALUE!</v>
      </c>
      <c r="EO2" t="e">
        <f>AND('INÍCIO NO DOMINGO CONTÍNUO'!N11,"AAAAAEs77JA=")</f>
        <v>#VALUE!</v>
      </c>
      <c r="EP2" t="e">
        <f>AND('INÍCIO NO DOMINGO CONTÍNUO'!O11,"AAAAAEs77JE=")</f>
        <v>#VALUE!</v>
      </c>
      <c r="EQ2">
        <f>IF('INÍCIO NO DOMINGO CONTÍNUO'!12:12,"AAAAAEs77JI=",0)</f>
        <v>0</v>
      </c>
      <c r="ER2" t="e">
        <f>AND('INÍCIO NO DOMINGO CONTÍNUO'!A12,"AAAAAEs77JM=")</f>
        <v>#VALUE!</v>
      </c>
      <c r="ES2" t="e">
        <f>AND('INÍCIO NO DOMINGO CONTÍNUO'!B12,"AAAAAEs77JQ=")</f>
        <v>#VALUE!</v>
      </c>
      <c r="ET2" t="e">
        <f>AND('INÍCIO NO DOMINGO CONTÍNUO'!C12,"AAAAAEs77JU=")</f>
        <v>#VALUE!</v>
      </c>
      <c r="EU2" t="e">
        <f>AND('INÍCIO NO DOMINGO CONTÍNUO'!D12,"AAAAAEs77JY=")</f>
        <v>#VALUE!</v>
      </c>
      <c r="EV2" t="e">
        <f>AND('INÍCIO NO DOMINGO CONTÍNUO'!E12,"AAAAAEs77Jc=")</f>
        <v>#VALUE!</v>
      </c>
      <c r="EW2" t="e">
        <f>AND('INÍCIO NO DOMINGO CONTÍNUO'!F12,"AAAAAEs77Jg=")</f>
        <v>#VALUE!</v>
      </c>
      <c r="EX2" t="e">
        <f>AND('INÍCIO NO DOMINGO CONTÍNUO'!G12,"AAAAAEs77Jk=")</f>
        <v>#VALUE!</v>
      </c>
      <c r="EY2" t="e">
        <f>AND('INÍCIO NO DOMINGO CONTÍNUO'!H12,"AAAAAEs77Jo=")</f>
        <v>#VALUE!</v>
      </c>
      <c r="EZ2" t="e">
        <f>AND('INÍCIO NO DOMINGO CONTÍNUO'!I12,"AAAAAEs77Js=")</f>
        <v>#VALUE!</v>
      </c>
      <c r="FA2" t="e">
        <f>AND('INÍCIO NO DOMINGO CONTÍNUO'!J12,"AAAAAEs77Jw=")</f>
        <v>#VALUE!</v>
      </c>
      <c r="FB2" t="e">
        <f>AND('INÍCIO NO DOMINGO CONTÍNUO'!K12,"AAAAAEs77J0=")</f>
        <v>#VALUE!</v>
      </c>
      <c r="FC2" t="e">
        <f>AND('INÍCIO NO DOMINGO CONTÍNUO'!L12,"AAAAAEs77J4=")</f>
        <v>#VALUE!</v>
      </c>
      <c r="FD2" t="e">
        <f>AND('INÍCIO NO DOMINGO CONTÍNUO'!M12,"AAAAAEs77J8=")</f>
        <v>#VALUE!</v>
      </c>
      <c r="FE2" t="e">
        <f>AND('INÍCIO NO DOMINGO CONTÍNUO'!N12,"AAAAAEs77KA=")</f>
        <v>#VALUE!</v>
      </c>
      <c r="FF2" t="e">
        <f>AND('INÍCIO NO DOMINGO CONTÍNUO'!O12,"AAAAAEs77KE=")</f>
        <v>#VALUE!</v>
      </c>
      <c r="FG2">
        <f>IF('INÍCIO NO DOMINGO CONTÍNUO'!13:13,"AAAAAEs77KI=",0)</f>
        <v>0</v>
      </c>
      <c r="FH2" t="e">
        <f>AND('INÍCIO NO DOMINGO CONTÍNUO'!A13,"AAAAAEs77KM=")</f>
        <v>#VALUE!</v>
      </c>
      <c r="FI2" t="e">
        <f>AND('INÍCIO NO DOMINGO CONTÍNUO'!B13,"AAAAAEs77KQ=")</f>
        <v>#VALUE!</v>
      </c>
      <c r="FJ2" t="e">
        <f>AND('INÍCIO NO DOMINGO CONTÍNUO'!C13,"AAAAAEs77KU=")</f>
        <v>#VALUE!</v>
      </c>
      <c r="FK2" t="e">
        <f>AND('INÍCIO NO DOMINGO CONTÍNUO'!D13,"AAAAAEs77KY=")</f>
        <v>#VALUE!</v>
      </c>
      <c r="FL2" t="e">
        <f>AND('INÍCIO NO DOMINGO CONTÍNUO'!E13,"AAAAAEs77Kc=")</f>
        <v>#VALUE!</v>
      </c>
      <c r="FM2" t="e">
        <f>AND('INÍCIO NO DOMINGO CONTÍNUO'!F13,"AAAAAEs77Kg=")</f>
        <v>#VALUE!</v>
      </c>
      <c r="FN2" t="e">
        <f>AND('INÍCIO NO DOMINGO CONTÍNUO'!G13,"AAAAAEs77Kk=")</f>
        <v>#VALUE!</v>
      </c>
      <c r="FO2" t="e">
        <f>AND('INÍCIO NO DOMINGO CONTÍNUO'!H13,"AAAAAEs77Ko=")</f>
        <v>#VALUE!</v>
      </c>
      <c r="FP2" t="e">
        <f>AND('INÍCIO NO DOMINGO CONTÍNUO'!I13,"AAAAAEs77Ks=")</f>
        <v>#VALUE!</v>
      </c>
      <c r="FQ2" t="e">
        <f>AND('INÍCIO NO DOMINGO CONTÍNUO'!J13,"AAAAAEs77Kw=")</f>
        <v>#VALUE!</v>
      </c>
      <c r="FR2" t="e">
        <f>AND('INÍCIO NO DOMINGO CONTÍNUO'!K13,"AAAAAEs77K0=")</f>
        <v>#VALUE!</v>
      </c>
      <c r="FS2" t="e">
        <f>AND('INÍCIO NO DOMINGO CONTÍNUO'!L13,"AAAAAEs77K4=")</f>
        <v>#VALUE!</v>
      </c>
      <c r="FT2" t="e">
        <f>AND('INÍCIO NO DOMINGO CONTÍNUO'!M13,"AAAAAEs77K8=")</f>
        <v>#VALUE!</v>
      </c>
      <c r="FU2" t="e">
        <f>AND('INÍCIO NO DOMINGO CONTÍNUO'!N13,"AAAAAEs77LA=")</f>
        <v>#VALUE!</v>
      </c>
      <c r="FV2" t="e">
        <f>AND('INÍCIO NO DOMINGO CONTÍNUO'!O13,"AAAAAEs77LE=")</f>
        <v>#VALUE!</v>
      </c>
      <c r="FW2">
        <f>IF('INÍCIO NO DOMINGO CONTÍNUO'!14:14,"AAAAAEs77LI=",0)</f>
        <v>0</v>
      </c>
      <c r="FX2">
        <f>IF('INÍCIO NO DOMINGO CONTÍNUO'!15:15,"AAAAAEs77LM=",0)</f>
        <v>0</v>
      </c>
      <c r="FY2">
        <f>IF('INÍCIO NO DOMINGO CONTÍNUO'!16:16,"AAAAAEs77LQ=",0)</f>
        <v>0</v>
      </c>
      <c r="FZ2">
        <f>IF('INÍCIO NO DOMINGO CONTÍNUO'!A:A,"AAAAAEs77LU=",0)</f>
        <v>0</v>
      </c>
      <c r="GA2" t="str">
        <f>IF('INÍCIO NO DOMINGO CONTÍNUO'!B:B,"AAAAAEs77LY=",0)</f>
        <v>AAAAAEs77LY=</v>
      </c>
      <c r="GB2">
        <f>IF('INÍCIO NO DOMINGO CONTÍNUO'!C:C,"AAAAAEs77Lc=",0)</f>
        <v>0</v>
      </c>
      <c r="GC2">
        <f>IF('INÍCIO NO DOMINGO CONTÍNUO'!D:D,"AAAAAEs77Lg=",0)</f>
        <v>0</v>
      </c>
      <c r="GD2">
        <f>IF('INÍCIO NO DOMINGO CONTÍNUO'!E:E,"AAAAAEs77Lk=",0)</f>
        <v>0</v>
      </c>
      <c r="GE2">
        <f>IF('INÍCIO NO DOMINGO CONTÍNUO'!F:F,"AAAAAEs77Lo=",0)</f>
        <v>0</v>
      </c>
      <c r="GF2">
        <f>IF('INÍCIO NO DOMINGO CONTÍNUO'!G:G,"AAAAAEs77Ls=",0)</f>
        <v>0</v>
      </c>
      <c r="GG2">
        <f>IF('INÍCIO NO DOMINGO CONTÍNUO'!H:H,"AAAAAEs77Lw=",0)</f>
        <v>0</v>
      </c>
      <c r="GH2">
        <f>IF('INÍCIO NO DOMINGO CONTÍNUO'!I:I,"AAAAAEs77L0=",0)</f>
        <v>0</v>
      </c>
      <c r="GI2" t="e">
        <f>IF('INÍCIO NO DOMINGO CONTÍNUO'!J:J,"AAAAAEs77L4=",0)</f>
        <v>#VALUE!</v>
      </c>
      <c r="GJ2" t="str">
        <f>IF('INÍCIO NO DOMINGO CONTÍNUO'!K:K,"AAAAAEs77L8=",0)</f>
        <v>AAAAAEs77L8=</v>
      </c>
      <c r="GK2">
        <f>IF('INÍCIO NO DOMINGO CONTÍNUO'!L:L,"AAAAAEs77MA=",0)</f>
        <v>0</v>
      </c>
      <c r="GL2">
        <f>IF('INÍCIO NO DOMINGO CONTÍNUO'!M:M,"AAAAAEs77ME=",0)</f>
        <v>0</v>
      </c>
      <c r="GM2">
        <f>IF('INÍCIO NO DOMINGO CONTÍNUO'!N:N,"AAAAAEs77MI=",0)</f>
        <v>0</v>
      </c>
      <c r="GN2">
        <f>IF('INÍCIO NO DOMINGO CONTÍNUO'!O:O,"AAAAAEs77MM=",0)</f>
        <v>0</v>
      </c>
      <c r="GO2">
        <f>IF('INÍCIO NA 2ª FEIRA'!1:1,"AAAAAEs77MQ=",0)</f>
        <v>0</v>
      </c>
      <c r="GP2" t="e">
        <f>AND('INÍCIO NA 2ª FEIRA'!A1,"AAAAAEs77MU=")</f>
        <v>#VALUE!</v>
      </c>
      <c r="GQ2" t="e">
        <f>AND('INÍCIO NA 2ª FEIRA'!B1,"AAAAAEs77MY=")</f>
        <v>#VALUE!</v>
      </c>
      <c r="GR2" t="e">
        <f>AND('INÍCIO NA 2ª FEIRA'!C1,"AAAAAEs77Mc=")</f>
        <v>#VALUE!</v>
      </c>
      <c r="GS2" t="e">
        <f>AND('INÍCIO NA 2ª FEIRA'!D1,"AAAAAEs77Mg=")</f>
        <v>#VALUE!</v>
      </c>
      <c r="GT2" t="e">
        <f>AND('INÍCIO NA 2ª FEIRA'!E1,"AAAAAEs77Mk=")</f>
        <v>#VALUE!</v>
      </c>
      <c r="GU2" t="e">
        <f>AND('INÍCIO NA 2ª FEIRA'!F1,"AAAAAEs77Mo=")</f>
        <v>#VALUE!</v>
      </c>
      <c r="GV2" t="e">
        <f>AND('INÍCIO NA 2ª FEIRA'!G1,"AAAAAEs77Ms=")</f>
        <v>#VALUE!</v>
      </c>
      <c r="GW2" t="e">
        <f>AND('INÍCIO NA 2ª FEIRA'!H1,"AAAAAEs77Mw=")</f>
        <v>#VALUE!</v>
      </c>
      <c r="GX2" t="e">
        <f>AND('INÍCIO NA 2ª FEIRA'!I1,"AAAAAEs77M0=")</f>
        <v>#VALUE!</v>
      </c>
      <c r="GY2" t="e">
        <f>AND('INÍCIO NA 2ª FEIRA'!J1,"AAAAAEs77M4=")</f>
        <v>#VALUE!</v>
      </c>
      <c r="GZ2" t="e">
        <f>AND('INÍCIO NA 2ª FEIRA'!K1,"AAAAAEs77M8=")</f>
        <v>#VALUE!</v>
      </c>
      <c r="HA2" t="e">
        <f>AND('INÍCIO NA 2ª FEIRA'!L1,"AAAAAEs77NA=")</f>
        <v>#VALUE!</v>
      </c>
      <c r="HB2" t="e">
        <f>AND('INÍCIO NA 2ª FEIRA'!M1,"AAAAAEs77NE=")</f>
        <v>#VALUE!</v>
      </c>
      <c r="HC2" t="e">
        <f>AND('INÍCIO NA 2ª FEIRA'!N1,"AAAAAEs77NI=")</f>
        <v>#VALUE!</v>
      </c>
      <c r="HD2" t="e">
        <f>AND('INÍCIO NA 2ª FEIRA'!O1,"AAAAAEs77NM=")</f>
        <v>#VALUE!</v>
      </c>
      <c r="HE2">
        <f>IF('INÍCIO NA 2ª FEIRA'!2:2,"AAAAAEs77NQ=",0)</f>
        <v>0</v>
      </c>
      <c r="HF2" t="e">
        <f>AND('INÍCIO NA 2ª FEIRA'!A2,"AAAAAEs77NU=")</f>
        <v>#VALUE!</v>
      </c>
      <c r="HG2" t="e">
        <f>AND('INÍCIO NA 2ª FEIRA'!B2,"AAAAAEs77NY=")</f>
        <v>#VALUE!</v>
      </c>
      <c r="HH2" t="e">
        <f>AND('INÍCIO NA 2ª FEIRA'!C2,"AAAAAEs77Nc=")</f>
        <v>#VALUE!</v>
      </c>
      <c r="HI2" t="e">
        <f>AND('INÍCIO NA 2ª FEIRA'!D2,"AAAAAEs77Ng=")</f>
        <v>#VALUE!</v>
      </c>
      <c r="HJ2" t="e">
        <f>AND('INÍCIO NA 2ª FEIRA'!E2,"AAAAAEs77Nk=")</f>
        <v>#VALUE!</v>
      </c>
      <c r="HK2" t="e">
        <f>AND('INÍCIO NA 2ª FEIRA'!F2,"AAAAAEs77No=")</f>
        <v>#VALUE!</v>
      </c>
      <c r="HL2" t="e">
        <f>AND('INÍCIO NA 2ª FEIRA'!G2,"AAAAAEs77Ns=")</f>
        <v>#VALUE!</v>
      </c>
      <c r="HM2" t="e">
        <f>AND('INÍCIO NA 2ª FEIRA'!H2,"AAAAAEs77Nw=")</f>
        <v>#VALUE!</v>
      </c>
      <c r="HN2" t="e">
        <f>AND('INÍCIO NA 2ª FEIRA'!I2,"AAAAAEs77N0=")</f>
        <v>#VALUE!</v>
      </c>
      <c r="HO2" t="e">
        <f>AND('INÍCIO NA 2ª FEIRA'!J2,"AAAAAEs77N4=")</f>
        <v>#VALUE!</v>
      </c>
      <c r="HP2" t="e">
        <f>AND('INÍCIO NA 2ª FEIRA'!K2,"AAAAAEs77N8=")</f>
        <v>#VALUE!</v>
      </c>
      <c r="HQ2" t="e">
        <f>AND('INÍCIO NA 2ª FEIRA'!L2,"AAAAAEs77OA=")</f>
        <v>#VALUE!</v>
      </c>
      <c r="HR2" t="e">
        <f>AND('INÍCIO NA 2ª FEIRA'!M2,"AAAAAEs77OE=")</f>
        <v>#VALUE!</v>
      </c>
      <c r="HS2" t="e">
        <f>AND('INÍCIO NA 2ª FEIRA'!N2,"AAAAAEs77OI=")</f>
        <v>#VALUE!</v>
      </c>
      <c r="HT2" t="e">
        <f>AND('INÍCIO NA 2ª FEIRA'!O2,"AAAAAEs77OM=")</f>
        <v>#VALUE!</v>
      </c>
      <c r="HU2">
        <f>IF('INÍCIO NA 2ª FEIRA'!3:3,"AAAAAEs77OQ=",0)</f>
        <v>0</v>
      </c>
      <c r="HV2" t="e">
        <f>AND('INÍCIO NA 2ª FEIRA'!A3,"AAAAAEs77OU=")</f>
        <v>#VALUE!</v>
      </c>
      <c r="HW2" t="e">
        <f>AND('INÍCIO NA 2ª FEIRA'!B3,"AAAAAEs77OY=")</f>
        <v>#VALUE!</v>
      </c>
      <c r="HX2" t="e">
        <f>AND('INÍCIO NA 2ª FEIRA'!C3,"AAAAAEs77Oc=")</f>
        <v>#VALUE!</v>
      </c>
      <c r="HY2" t="e">
        <f>AND('INÍCIO NA 2ª FEIRA'!D3,"AAAAAEs77Og=")</f>
        <v>#VALUE!</v>
      </c>
      <c r="HZ2" t="e">
        <f>AND('INÍCIO NA 2ª FEIRA'!E3,"AAAAAEs77Ok=")</f>
        <v>#VALUE!</v>
      </c>
      <c r="IA2" t="e">
        <f>AND('INÍCIO NA 2ª FEIRA'!F3,"AAAAAEs77Oo=")</f>
        <v>#VALUE!</v>
      </c>
      <c r="IB2" t="e">
        <f>AND('INÍCIO NA 2ª FEIRA'!G3,"AAAAAEs77Os=")</f>
        <v>#VALUE!</v>
      </c>
      <c r="IC2" t="e">
        <f>AND('INÍCIO NA 2ª FEIRA'!H3,"AAAAAEs77Ow=")</f>
        <v>#VALUE!</v>
      </c>
      <c r="ID2" t="e">
        <f>AND('INÍCIO NA 2ª FEIRA'!I3,"AAAAAEs77O0=")</f>
        <v>#VALUE!</v>
      </c>
      <c r="IE2" t="e">
        <f>AND('INÍCIO NA 2ª FEIRA'!J3,"AAAAAEs77O4=")</f>
        <v>#VALUE!</v>
      </c>
      <c r="IF2" t="e">
        <f>AND('INÍCIO NA 2ª FEIRA'!K3,"AAAAAEs77O8=")</f>
        <v>#VALUE!</v>
      </c>
      <c r="IG2" t="e">
        <f>AND('INÍCIO NA 2ª FEIRA'!L3,"AAAAAEs77PA=")</f>
        <v>#VALUE!</v>
      </c>
      <c r="IH2" t="e">
        <f>AND('INÍCIO NA 2ª FEIRA'!M3,"AAAAAEs77PE=")</f>
        <v>#VALUE!</v>
      </c>
      <c r="II2" t="e">
        <f>AND('INÍCIO NA 2ª FEIRA'!N3,"AAAAAEs77PI=")</f>
        <v>#VALUE!</v>
      </c>
      <c r="IJ2" t="e">
        <f>AND('INÍCIO NA 2ª FEIRA'!O3,"AAAAAEs77PM=")</f>
        <v>#VALUE!</v>
      </c>
      <c r="IK2">
        <f>IF('INÍCIO NA 2ª FEIRA'!4:4,"AAAAAEs77PQ=",0)</f>
        <v>0</v>
      </c>
      <c r="IL2" t="e">
        <f>AND('INÍCIO NA 2ª FEIRA'!A4,"AAAAAEs77PU=")</f>
        <v>#VALUE!</v>
      </c>
      <c r="IM2" t="e">
        <f>AND('INÍCIO NA 2ª FEIRA'!B4,"AAAAAEs77PY=")</f>
        <v>#VALUE!</v>
      </c>
      <c r="IN2" t="e">
        <f>AND('INÍCIO NA 2ª FEIRA'!C4,"AAAAAEs77Pc=")</f>
        <v>#VALUE!</v>
      </c>
      <c r="IO2" t="e">
        <f>AND('INÍCIO NA 2ª FEIRA'!D4,"AAAAAEs77Pg=")</f>
        <v>#VALUE!</v>
      </c>
      <c r="IP2" t="e">
        <f>AND('INÍCIO NA 2ª FEIRA'!E4,"AAAAAEs77Pk=")</f>
        <v>#VALUE!</v>
      </c>
      <c r="IQ2" t="e">
        <f>AND('INÍCIO NA 2ª FEIRA'!F4,"AAAAAEs77Po=")</f>
        <v>#VALUE!</v>
      </c>
      <c r="IR2" t="e">
        <f>AND('INÍCIO NA 2ª FEIRA'!G4,"AAAAAEs77Ps=")</f>
        <v>#VALUE!</v>
      </c>
      <c r="IS2" t="e">
        <f>AND('INÍCIO NA 2ª FEIRA'!H4,"AAAAAEs77Pw=")</f>
        <v>#VALUE!</v>
      </c>
      <c r="IT2" t="e">
        <f>AND('INÍCIO NA 2ª FEIRA'!I4,"AAAAAEs77P0=")</f>
        <v>#VALUE!</v>
      </c>
      <c r="IU2" t="e">
        <f>AND('INÍCIO NA 2ª FEIRA'!J4,"AAAAAEs77P4=")</f>
        <v>#VALUE!</v>
      </c>
      <c r="IV2" t="e">
        <f>AND('INÍCIO NA 2ª FEIRA'!K4,"AAAAAEs77P8=")</f>
        <v>#VALUE!</v>
      </c>
    </row>
    <row r="3" spans="1:256" x14ac:dyDescent="0.3">
      <c r="A3" t="e">
        <f>AND('INÍCIO NA 2ª FEIRA'!L4,"AAAAAFW9/wA=")</f>
        <v>#VALUE!</v>
      </c>
      <c r="B3" t="e">
        <f>AND('INÍCIO NA 2ª FEIRA'!M4,"AAAAAFW9/wE=")</f>
        <v>#VALUE!</v>
      </c>
      <c r="C3" t="e">
        <f>AND('INÍCIO NA 2ª FEIRA'!N4,"AAAAAFW9/wI=")</f>
        <v>#VALUE!</v>
      </c>
      <c r="D3" t="e">
        <f>AND('INÍCIO NA 2ª FEIRA'!O4,"AAAAAFW9/wM=")</f>
        <v>#VALUE!</v>
      </c>
      <c r="E3" t="e">
        <f>IF('INÍCIO NA 2ª FEIRA'!5:5,"AAAAAFW9/wQ=",0)</f>
        <v>#VALUE!</v>
      </c>
      <c r="F3" t="e">
        <f>AND('INÍCIO NA 2ª FEIRA'!A5,"AAAAAFW9/wU=")</f>
        <v>#VALUE!</v>
      </c>
      <c r="G3" t="e">
        <f>AND('INÍCIO NA 2ª FEIRA'!B5,"AAAAAFW9/wY=")</f>
        <v>#VALUE!</v>
      </c>
      <c r="H3" t="e">
        <f>AND('INÍCIO NA 2ª FEIRA'!C5,"AAAAAFW9/wc=")</f>
        <v>#VALUE!</v>
      </c>
      <c r="I3" t="e">
        <f>AND('INÍCIO NA 2ª FEIRA'!D5,"AAAAAFW9/wg=")</f>
        <v>#VALUE!</v>
      </c>
      <c r="J3" t="e">
        <f>AND('INÍCIO NA 2ª FEIRA'!E5,"AAAAAFW9/wk=")</f>
        <v>#VALUE!</v>
      </c>
      <c r="K3" t="e">
        <f>AND('INÍCIO NA 2ª FEIRA'!F5,"AAAAAFW9/wo=")</f>
        <v>#VALUE!</v>
      </c>
      <c r="L3" t="e">
        <f>AND('INÍCIO NA 2ª FEIRA'!G5,"AAAAAFW9/ws=")</f>
        <v>#VALUE!</v>
      </c>
      <c r="M3" t="e">
        <f>AND('INÍCIO NA 2ª FEIRA'!H5,"AAAAAFW9/ww=")</f>
        <v>#VALUE!</v>
      </c>
      <c r="N3" t="e">
        <f>AND('INÍCIO NA 2ª FEIRA'!I5,"AAAAAFW9/w0=")</f>
        <v>#VALUE!</v>
      </c>
      <c r="O3" t="e">
        <f>AND('INÍCIO NA 2ª FEIRA'!J5,"AAAAAFW9/w4=")</f>
        <v>#VALUE!</v>
      </c>
      <c r="P3" t="e">
        <f>AND('INÍCIO NA 2ª FEIRA'!K5,"AAAAAFW9/w8=")</f>
        <v>#VALUE!</v>
      </c>
      <c r="Q3" t="e">
        <f>AND('INÍCIO NA 2ª FEIRA'!L5,"AAAAAFW9/xA=")</f>
        <v>#VALUE!</v>
      </c>
      <c r="R3" t="e">
        <f>AND('INÍCIO NA 2ª FEIRA'!M5,"AAAAAFW9/xE=")</f>
        <v>#VALUE!</v>
      </c>
      <c r="S3" t="e">
        <f>AND('INÍCIO NA 2ª FEIRA'!N5,"AAAAAFW9/xI=")</f>
        <v>#VALUE!</v>
      </c>
      <c r="T3" t="e">
        <f>AND('INÍCIO NA 2ª FEIRA'!O5,"AAAAAFW9/xM=")</f>
        <v>#VALUE!</v>
      </c>
      <c r="U3">
        <f>IF('INÍCIO NA 2ª FEIRA'!6:6,"AAAAAFW9/xQ=",0)</f>
        <v>0</v>
      </c>
      <c r="V3" t="e">
        <f>AND('INÍCIO NA 2ª FEIRA'!A6,"AAAAAFW9/xU=")</f>
        <v>#VALUE!</v>
      </c>
      <c r="W3" t="e">
        <f>AND('INÍCIO NA 2ª FEIRA'!B6,"AAAAAFW9/xY=")</f>
        <v>#VALUE!</v>
      </c>
      <c r="X3" t="e">
        <f>AND('INÍCIO NA 2ª FEIRA'!C6,"AAAAAFW9/xc=")</f>
        <v>#VALUE!</v>
      </c>
      <c r="Y3" t="e">
        <f>AND('INÍCIO NA 2ª FEIRA'!D6,"AAAAAFW9/xg=")</f>
        <v>#VALUE!</v>
      </c>
      <c r="Z3" t="e">
        <f>AND('INÍCIO NA 2ª FEIRA'!E6,"AAAAAFW9/xk=")</f>
        <v>#VALUE!</v>
      </c>
      <c r="AA3" t="e">
        <f>AND('INÍCIO NA 2ª FEIRA'!F6,"AAAAAFW9/xo=")</f>
        <v>#VALUE!</v>
      </c>
      <c r="AB3" t="e">
        <f>AND('INÍCIO NA 2ª FEIRA'!G6,"AAAAAFW9/xs=")</f>
        <v>#VALUE!</v>
      </c>
      <c r="AC3" t="e">
        <f>AND('INÍCIO NA 2ª FEIRA'!H6,"AAAAAFW9/xw=")</f>
        <v>#VALUE!</v>
      </c>
      <c r="AD3" t="e">
        <f>AND('INÍCIO NA 2ª FEIRA'!I6,"AAAAAFW9/x0=")</f>
        <v>#VALUE!</v>
      </c>
      <c r="AE3" t="e">
        <f>AND('INÍCIO NA 2ª FEIRA'!J6,"AAAAAFW9/x4=")</f>
        <v>#VALUE!</v>
      </c>
      <c r="AF3" t="e">
        <f>AND('INÍCIO NA 2ª FEIRA'!K6,"AAAAAFW9/x8=")</f>
        <v>#VALUE!</v>
      </c>
      <c r="AG3" t="e">
        <f>AND('INÍCIO NA 2ª FEIRA'!L6,"AAAAAFW9/yA=")</f>
        <v>#VALUE!</v>
      </c>
      <c r="AH3" t="e">
        <f>AND('INÍCIO NA 2ª FEIRA'!M6,"AAAAAFW9/yE=")</f>
        <v>#VALUE!</v>
      </c>
      <c r="AI3" t="e">
        <f>AND('INÍCIO NA 2ª FEIRA'!N6,"AAAAAFW9/yI=")</f>
        <v>#VALUE!</v>
      </c>
      <c r="AJ3" t="e">
        <f>AND('INÍCIO NA 2ª FEIRA'!O6,"AAAAAFW9/yM=")</f>
        <v>#VALUE!</v>
      </c>
      <c r="AK3">
        <f>IF('INÍCIO NA 2ª FEIRA'!7:7,"AAAAAFW9/yQ=",0)</f>
        <v>0</v>
      </c>
      <c r="AL3" t="e">
        <f>AND('INÍCIO NA 2ª FEIRA'!A7,"AAAAAFW9/yU=")</f>
        <v>#VALUE!</v>
      </c>
      <c r="AM3" t="e">
        <f>AND('INÍCIO NA 2ª FEIRA'!B7,"AAAAAFW9/yY=")</f>
        <v>#VALUE!</v>
      </c>
      <c r="AN3" t="e">
        <f>AND('INÍCIO NA 2ª FEIRA'!C7,"AAAAAFW9/yc=")</f>
        <v>#VALUE!</v>
      </c>
      <c r="AO3" t="e">
        <f>AND('INÍCIO NA 2ª FEIRA'!D7,"AAAAAFW9/yg=")</f>
        <v>#VALUE!</v>
      </c>
      <c r="AP3" t="e">
        <f>AND('INÍCIO NA 2ª FEIRA'!E7,"AAAAAFW9/yk=")</f>
        <v>#VALUE!</v>
      </c>
      <c r="AQ3" t="e">
        <f>AND('INÍCIO NA 2ª FEIRA'!F7,"AAAAAFW9/yo=")</f>
        <v>#VALUE!</v>
      </c>
      <c r="AR3" t="e">
        <f>AND('INÍCIO NA 2ª FEIRA'!G7,"AAAAAFW9/ys=")</f>
        <v>#VALUE!</v>
      </c>
      <c r="AS3" t="e">
        <f>AND('INÍCIO NA 2ª FEIRA'!H7,"AAAAAFW9/yw=")</f>
        <v>#VALUE!</v>
      </c>
      <c r="AT3" t="e">
        <f>AND('INÍCIO NA 2ª FEIRA'!I7,"AAAAAFW9/y0=")</f>
        <v>#VALUE!</v>
      </c>
      <c r="AU3" t="e">
        <f>AND('INÍCIO NA 2ª FEIRA'!J7,"AAAAAFW9/y4=")</f>
        <v>#VALUE!</v>
      </c>
      <c r="AV3" t="e">
        <f>AND('INÍCIO NA 2ª FEIRA'!K7,"AAAAAFW9/y8=")</f>
        <v>#VALUE!</v>
      </c>
      <c r="AW3" t="e">
        <f>AND('INÍCIO NA 2ª FEIRA'!L7,"AAAAAFW9/zA=")</f>
        <v>#VALUE!</v>
      </c>
      <c r="AX3" t="e">
        <f>AND('INÍCIO NA 2ª FEIRA'!M7,"AAAAAFW9/zE=")</f>
        <v>#VALUE!</v>
      </c>
      <c r="AY3" t="e">
        <f>AND('INÍCIO NA 2ª FEIRA'!N7,"AAAAAFW9/zI=")</f>
        <v>#VALUE!</v>
      </c>
      <c r="AZ3" t="e">
        <f>AND('INÍCIO NA 2ª FEIRA'!O7,"AAAAAFW9/zM=")</f>
        <v>#VALUE!</v>
      </c>
      <c r="BA3">
        <f>IF('INÍCIO NA 2ª FEIRA'!8:8,"AAAAAFW9/zQ=",0)</f>
        <v>0</v>
      </c>
      <c r="BB3" t="e">
        <f>AND('INÍCIO NA 2ª FEIRA'!A8,"AAAAAFW9/zU=")</f>
        <v>#VALUE!</v>
      </c>
      <c r="BC3" t="e">
        <f>AND('INÍCIO NA 2ª FEIRA'!B8,"AAAAAFW9/zY=")</f>
        <v>#VALUE!</v>
      </c>
      <c r="BD3" t="e">
        <f>AND('INÍCIO NA 2ª FEIRA'!C8,"AAAAAFW9/zc=")</f>
        <v>#VALUE!</v>
      </c>
      <c r="BE3" t="e">
        <f>AND('INÍCIO NA 2ª FEIRA'!D8,"AAAAAFW9/zg=")</f>
        <v>#VALUE!</v>
      </c>
      <c r="BF3" t="e">
        <f>AND('INÍCIO NA 2ª FEIRA'!E8,"AAAAAFW9/zk=")</f>
        <v>#VALUE!</v>
      </c>
      <c r="BG3" t="e">
        <f>AND('INÍCIO NA 2ª FEIRA'!F8,"AAAAAFW9/zo=")</f>
        <v>#VALUE!</v>
      </c>
      <c r="BH3" t="e">
        <f>AND('INÍCIO NA 2ª FEIRA'!G8,"AAAAAFW9/zs=")</f>
        <v>#VALUE!</v>
      </c>
      <c r="BI3" t="e">
        <f>AND('INÍCIO NA 2ª FEIRA'!H8,"AAAAAFW9/zw=")</f>
        <v>#VALUE!</v>
      </c>
      <c r="BJ3" t="e">
        <f>AND('INÍCIO NA 2ª FEIRA'!I8,"AAAAAFW9/z0=")</f>
        <v>#VALUE!</v>
      </c>
      <c r="BK3" t="e">
        <f>AND('INÍCIO NA 2ª FEIRA'!J8,"AAAAAFW9/z4=")</f>
        <v>#VALUE!</v>
      </c>
      <c r="BL3" t="e">
        <f>AND('INÍCIO NA 2ª FEIRA'!K8,"AAAAAFW9/z8=")</f>
        <v>#VALUE!</v>
      </c>
      <c r="BM3" t="e">
        <f>AND('INÍCIO NA 2ª FEIRA'!L8,"AAAAAFW9/0A=")</f>
        <v>#VALUE!</v>
      </c>
      <c r="BN3" t="e">
        <f>AND('INÍCIO NA 2ª FEIRA'!M8,"AAAAAFW9/0E=")</f>
        <v>#VALUE!</v>
      </c>
      <c r="BO3" t="e">
        <f>AND('INÍCIO NA 2ª FEIRA'!N8,"AAAAAFW9/0I=")</f>
        <v>#VALUE!</v>
      </c>
      <c r="BP3" t="e">
        <f>AND('INÍCIO NA 2ª FEIRA'!O8,"AAAAAFW9/0M=")</f>
        <v>#VALUE!</v>
      </c>
      <c r="BQ3">
        <f>IF('INÍCIO NA 2ª FEIRA'!9:9,"AAAAAFW9/0Q=",0)</f>
        <v>0</v>
      </c>
      <c r="BR3" t="e">
        <f>AND('INÍCIO NA 2ª FEIRA'!A9,"AAAAAFW9/0U=")</f>
        <v>#VALUE!</v>
      </c>
      <c r="BS3" t="e">
        <f>AND('INÍCIO NA 2ª FEIRA'!B9,"AAAAAFW9/0Y=")</f>
        <v>#VALUE!</v>
      </c>
      <c r="BT3" t="e">
        <f>AND('INÍCIO NA 2ª FEIRA'!C9,"AAAAAFW9/0c=")</f>
        <v>#VALUE!</v>
      </c>
      <c r="BU3" t="e">
        <f>AND('INÍCIO NA 2ª FEIRA'!D9,"AAAAAFW9/0g=")</f>
        <v>#VALUE!</v>
      </c>
      <c r="BV3" t="e">
        <f>AND('INÍCIO NA 2ª FEIRA'!E9,"AAAAAFW9/0k=")</f>
        <v>#VALUE!</v>
      </c>
      <c r="BW3" t="e">
        <f>AND('INÍCIO NA 2ª FEIRA'!F9,"AAAAAFW9/0o=")</f>
        <v>#VALUE!</v>
      </c>
      <c r="BX3" t="e">
        <f>AND('INÍCIO NA 2ª FEIRA'!G9,"AAAAAFW9/0s=")</f>
        <v>#VALUE!</v>
      </c>
      <c r="BY3" t="e">
        <f>AND('INÍCIO NA 2ª FEIRA'!H9,"AAAAAFW9/0w=")</f>
        <v>#VALUE!</v>
      </c>
      <c r="BZ3" t="e">
        <f>AND('INÍCIO NA 2ª FEIRA'!I9,"AAAAAFW9/00=")</f>
        <v>#VALUE!</v>
      </c>
      <c r="CA3" t="e">
        <f>AND('INÍCIO NA 2ª FEIRA'!J9,"AAAAAFW9/04=")</f>
        <v>#VALUE!</v>
      </c>
      <c r="CB3" t="e">
        <f>AND('INÍCIO NA 2ª FEIRA'!K9,"AAAAAFW9/08=")</f>
        <v>#VALUE!</v>
      </c>
      <c r="CC3" t="e">
        <f>AND('INÍCIO NA 2ª FEIRA'!L9,"AAAAAFW9/1A=")</f>
        <v>#VALUE!</v>
      </c>
      <c r="CD3" t="e">
        <f>AND('INÍCIO NA 2ª FEIRA'!M9,"AAAAAFW9/1E=")</f>
        <v>#VALUE!</v>
      </c>
      <c r="CE3" t="e">
        <f>AND('INÍCIO NA 2ª FEIRA'!N9,"AAAAAFW9/1I=")</f>
        <v>#VALUE!</v>
      </c>
      <c r="CF3" t="e">
        <f>AND('INÍCIO NA 2ª FEIRA'!O9,"AAAAAFW9/1M=")</f>
        <v>#VALUE!</v>
      </c>
      <c r="CG3">
        <f>IF('INÍCIO NA 2ª FEIRA'!10:10,"AAAAAFW9/1Q=",0)</f>
        <v>0</v>
      </c>
      <c r="CH3" t="e">
        <f>AND('INÍCIO NA 2ª FEIRA'!A10,"AAAAAFW9/1U=")</f>
        <v>#VALUE!</v>
      </c>
      <c r="CI3" t="e">
        <f>AND('INÍCIO NA 2ª FEIRA'!B10,"AAAAAFW9/1Y=")</f>
        <v>#VALUE!</v>
      </c>
      <c r="CJ3" t="e">
        <f>AND('INÍCIO NA 2ª FEIRA'!C10,"AAAAAFW9/1c=")</f>
        <v>#VALUE!</v>
      </c>
      <c r="CK3" t="e">
        <f>AND('INÍCIO NA 2ª FEIRA'!D10,"AAAAAFW9/1g=")</f>
        <v>#VALUE!</v>
      </c>
      <c r="CL3" t="e">
        <f>AND('INÍCIO NA 2ª FEIRA'!E10,"AAAAAFW9/1k=")</f>
        <v>#VALUE!</v>
      </c>
      <c r="CM3" t="e">
        <f>AND('INÍCIO NA 2ª FEIRA'!F10,"AAAAAFW9/1o=")</f>
        <v>#VALUE!</v>
      </c>
      <c r="CN3" t="e">
        <f>AND('INÍCIO NA 2ª FEIRA'!G10,"AAAAAFW9/1s=")</f>
        <v>#VALUE!</v>
      </c>
      <c r="CO3" t="e">
        <f>AND('INÍCIO NA 2ª FEIRA'!H10,"AAAAAFW9/1w=")</f>
        <v>#VALUE!</v>
      </c>
      <c r="CP3" t="e">
        <f>AND('INÍCIO NA 2ª FEIRA'!I10,"AAAAAFW9/10=")</f>
        <v>#VALUE!</v>
      </c>
      <c r="CQ3" t="e">
        <f>AND('INÍCIO NA 2ª FEIRA'!J10,"AAAAAFW9/14=")</f>
        <v>#VALUE!</v>
      </c>
      <c r="CR3" t="e">
        <f>AND('INÍCIO NA 2ª FEIRA'!K10,"AAAAAFW9/18=")</f>
        <v>#VALUE!</v>
      </c>
      <c r="CS3" t="e">
        <f>AND('INÍCIO NA 2ª FEIRA'!L10,"AAAAAFW9/2A=")</f>
        <v>#VALUE!</v>
      </c>
      <c r="CT3" t="e">
        <f>AND('INÍCIO NA 2ª FEIRA'!M10,"AAAAAFW9/2E=")</f>
        <v>#VALUE!</v>
      </c>
      <c r="CU3" t="e">
        <f>AND('INÍCIO NA 2ª FEIRA'!N10,"AAAAAFW9/2I=")</f>
        <v>#VALUE!</v>
      </c>
      <c r="CV3" t="e">
        <f>AND('INÍCIO NA 2ª FEIRA'!O10,"AAAAAFW9/2M=")</f>
        <v>#VALUE!</v>
      </c>
      <c r="CW3">
        <f>IF('INÍCIO NA 2ª FEIRA'!11:11,"AAAAAFW9/2Q=",0)</f>
        <v>0</v>
      </c>
      <c r="CX3" t="e">
        <f>AND('INÍCIO NA 2ª FEIRA'!A11,"AAAAAFW9/2U=")</f>
        <v>#VALUE!</v>
      </c>
      <c r="CY3" t="e">
        <f>AND('INÍCIO NA 2ª FEIRA'!B11,"AAAAAFW9/2Y=")</f>
        <v>#VALUE!</v>
      </c>
      <c r="CZ3" t="e">
        <f>AND('INÍCIO NA 2ª FEIRA'!C11,"AAAAAFW9/2c=")</f>
        <v>#VALUE!</v>
      </c>
      <c r="DA3" t="e">
        <f>AND('INÍCIO NA 2ª FEIRA'!D11,"AAAAAFW9/2g=")</f>
        <v>#VALUE!</v>
      </c>
      <c r="DB3" t="e">
        <f>AND('INÍCIO NA 2ª FEIRA'!E11,"AAAAAFW9/2k=")</f>
        <v>#VALUE!</v>
      </c>
      <c r="DC3" t="e">
        <f>AND('INÍCIO NA 2ª FEIRA'!F11,"AAAAAFW9/2o=")</f>
        <v>#VALUE!</v>
      </c>
      <c r="DD3" t="e">
        <f>AND('INÍCIO NA 2ª FEIRA'!G11,"AAAAAFW9/2s=")</f>
        <v>#VALUE!</v>
      </c>
      <c r="DE3" t="e">
        <f>AND('INÍCIO NA 2ª FEIRA'!H11,"AAAAAFW9/2w=")</f>
        <v>#VALUE!</v>
      </c>
      <c r="DF3" t="e">
        <f>AND('INÍCIO NA 2ª FEIRA'!I11,"AAAAAFW9/20=")</f>
        <v>#VALUE!</v>
      </c>
      <c r="DG3" t="e">
        <f>AND('INÍCIO NA 2ª FEIRA'!J11,"AAAAAFW9/24=")</f>
        <v>#VALUE!</v>
      </c>
      <c r="DH3" t="e">
        <f>AND('INÍCIO NA 2ª FEIRA'!K11,"AAAAAFW9/28=")</f>
        <v>#VALUE!</v>
      </c>
      <c r="DI3" t="e">
        <f>AND('INÍCIO NA 2ª FEIRA'!L11,"AAAAAFW9/3A=")</f>
        <v>#VALUE!</v>
      </c>
      <c r="DJ3" t="e">
        <f>AND('INÍCIO NA 2ª FEIRA'!M11,"AAAAAFW9/3E=")</f>
        <v>#VALUE!</v>
      </c>
      <c r="DK3" t="e">
        <f>AND('INÍCIO NA 2ª FEIRA'!N11,"AAAAAFW9/3I=")</f>
        <v>#VALUE!</v>
      </c>
      <c r="DL3" t="e">
        <f>AND('INÍCIO NA 2ª FEIRA'!O11,"AAAAAFW9/3M=")</f>
        <v>#VALUE!</v>
      </c>
      <c r="DM3">
        <f>IF('INÍCIO NA 2ª FEIRA'!12:12,"AAAAAFW9/3Q=",0)</f>
        <v>0</v>
      </c>
      <c r="DN3" t="e">
        <f>AND('INÍCIO NA 2ª FEIRA'!A12,"AAAAAFW9/3U=")</f>
        <v>#VALUE!</v>
      </c>
      <c r="DO3" t="e">
        <f>AND('INÍCIO NA 2ª FEIRA'!B12,"AAAAAFW9/3Y=")</f>
        <v>#VALUE!</v>
      </c>
      <c r="DP3" t="e">
        <f>AND('INÍCIO NA 2ª FEIRA'!C12,"AAAAAFW9/3c=")</f>
        <v>#VALUE!</v>
      </c>
      <c r="DQ3" t="e">
        <f>AND('INÍCIO NA 2ª FEIRA'!D12,"AAAAAFW9/3g=")</f>
        <v>#VALUE!</v>
      </c>
      <c r="DR3" t="e">
        <f>AND('INÍCIO NA 2ª FEIRA'!E12,"AAAAAFW9/3k=")</f>
        <v>#VALUE!</v>
      </c>
      <c r="DS3" t="e">
        <f>AND('INÍCIO NA 2ª FEIRA'!F12,"AAAAAFW9/3o=")</f>
        <v>#VALUE!</v>
      </c>
      <c r="DT3" t="e">
        <f>AND('INÍCIO NA 2ª FEIRA'!G12,"AAAAAFW9/3s=")</f>
        <v>#VALUE!</v>
      </c>
      <c r="DU3" t="e">
        <f>AND('INÍCIO NA 2ª FEIRA'!H12,"AAAAAFW9/3w=")</f>
        <v>#VALUE!</v>
      </c>
      <c r="DV3" t="e">
        <f>AND('INÍCIO NA 2ª FEIRA'!I12,"AAAAAFW9/30=")</f>
        <v>#VALUE!</v>
      </c>
      <c r="DW3" t="e">
        <f>AND('INÍCIO NA 2ª FEIRA'!J12,"AAAAAFW9/34=")</f>
        <v>#VALUE!</v>
      </c>
      <c r="DX3" t="e">
        <f>AND('INÍCIO NA 2ª FEIRA'!K12,"AAAAAFW9/38=")</f>
        <v>#VALUE!</v>
      </c>
      <c r="DY3" t="e">
        <f>AND('INÍCIO NA 2ª FEIRA'!L12,"AAAAAFW9/4A=")</f>
        <v>#VALUE!</v>
      </c>
      <c r="DZ3" t="e">
        <f>AND('INÍCIO NA 2ª FEIRA'!M12,"AAAAAFW9/4E=")</f>
        <v>#VALUE!</v>
      </c>
      <c r="EA3" t="e">
        <f>AND('INÍCIO NA 2ª FEIRA'!N12,"AAAAAFW9/4I=")</f>
        <v>#VALUE!</v>
      </c>
      <c r="EB3" t="e">
        <f>AND('INÍCIO NA 2ª FEIRA'!O12,"AAAAAFW9/4M=")</f>
        <v>#VALUE!</v>
      </c>
      <c r="EC3">
        <f>IF('INÍCIO NA 2ª FEIRA'!13:13,"AAAAAFW9/4Q=",0)</f>
        <v>0</v>
      </c>
      <c r="ED3" t="e">
        <f>AND('INÍCIO NA 2ª FEIRA'!A13,"AAAAAFW9/4U=")</f>
        <v>#VALUE!</v>
      </c>
      <c r="EE3" t="e">
        <f>AND('INÍCIO NA 2ª FEIRA'!B13,"AAAAAFW9/4Y=")</f>
        <v>#VALUE!</v>
      </c>
      <c r="EF3" t="e">
        <f>AND('INÍCIO NA 2ª FEIRA'!C13,"AAAAAFW9/4c=")</f>
        <v>#VALUE!</v>
      </c>
      <c r="EG3" t="e">
        <f>AND('INÍCIO NA 2ª FEIRA'!D13,"AAAAAFW9/4g=")</f>
        <v>#VALUE!</v>
      </c>
      <c r="EH3" t="e">
        <f>AND('INÍCIO NA 2ª FEIRA'!E13,"AAAAAFW9/4k=")</f>
        <v>#VALUE!</v>
      </c>
      <c r="EI3" t="e">
        <f>AND('INÍCIO NA 2ª FEIRA'!F13,"AAAAAFW9/4o=")</f>
        <v>#VALUE!</v>
      </c>
      <c r="EJ3" t="e">
        <f>AND('INÍCIO NA 2ª FEIRA'!G13,"AAAAAFW9/4s=")</f>
        <v>#VALUE!</v>
      </c>
      <c r="EK3" t="e">
        <f>AND('INÍCIO NA 2ª FEIRA'!H13,"AAAAAFW9/4w=")</f>
        <v>#VALUE!</v>
      </c>
      <c r="EL3" t="e">
        <f>AND('INÍCIO NA 2ª FEIRA'!I13,"AAAAAFW9/40=")</f>
        <v>#VALUE!</v>
      </c>
      <c r="EM3" t="e">
        <f>AND('INÍCIO NA 2ª FEIRA'!J13,"AAAAAFW9/44=")</f>
        <v>#VALUE!</v>
      </c>
      <c r="EN3" t="e">
        <f>AND('INÍCIO NA 2ª FEIRA'!K13,"AAAAAFW9/48=")</f>
        <v>#VALUE!</v>
      </c>
      <c r="EO3" t="e">
        <f>AND('INÍCIO NA 2ª FEIRA'!L13,"AAAAAFW9/5A=")</f>
        <v>#VALUE!</v>
      </c>
      <c r="EP3" t="e">
        <f>AND('INÍCIO NA 2ª FEIRA'!M13,"AAAAAFW9/5E=")</f>
        <v>#VALUE!</v>
      </c>
      <c r="EQ3" t="e">
        <f>AND('INÍCIO NA 2ª FEIRA'!N13,"AAAAAFW9/5I=")</f>
        <v>#VALUE!</v>
      </c>
      <c r="ER3" t="e">
        <f>AND('INÍCIO NA 2ª FEIRA'!O13,"AAAAAFW9/5M=")</f>
        <v>#VALUE!</v>
      </c>
      <c r="ES3">
        <f>IF('INÍCIO NA 2ª FEIRA'!14:14,"AAAAAFW9/5Q=",0)</f>
        <v>0</v>
      </c>
      <c r="ET3">
        <f>IF('INÍCIO NA 2ª FEIRA'!15:15,"AAAAAFW9/5U=",0)</f>
        <v>0</v>
      </c>
      <c r="EU3">
        <f>IF('INÍCIO NA 2ª FEIRA'!16:16,"AAAAAFW9/5Y=",0)</f>
        <v>0</v>
      </c>
      <c r="EV3">
        <f>IF('INÍCIO NA 2ª FEIRA'!A:A,"AAAAAFW9/5c=",0)</f>
        <v>0</v>
      </c>
      <c r="EW3" t="str">
        <f>IF('INÍCIO NA 2ª FEIRA'!B:B,"AAAAAFW9/5g=",0)</f>
        <v>AAAAAFW9/5g=</v>
      </c>
      <c r="EX3">
        <f>IF('INÍCIO NA 2ª FEIRA'!C:C,"AAAAAFW9/5k=",0)</f>
        <v>0</v>
      </c>
      <c r="EY3">
        <f>IF('INÍCIO NA 2ª FEIRA'!D:D,"AAAAAFW9/5o=",0)</f>
        <v>0</v>
      </c>
      <c r="EZ3">
        <f>IF('INÍCIO NA 2ª FEIRA'!E:E,"AAAAAFW9/5s=",0)</f>
        <v>0</v>
      </c>
      <c r="FA3">
        <f>IF('INÍCIO NA 2ª FEIRA'!F:F,"AAAAAFW9/5w=",0)</f>
        <v>0</v>
      </c>
      <c r="FB3">
        <f>IF('INÍCIO NA 2ª FEIRA'!G:G,"AAAAAFW9/50=",0)</f>
        <v>0</v>
      </c>
      <c r="FC3">
        <f>IF('INÍCIO NA 2ª FEIRA'!H:H,"AAAAAFW9/54=",0)</f>
        <v>0</v>
      </c>
      <c r="FD3">
        <f>IF('INÍCIO NA 2ª FEIRA'!I:I,"AAAAAFW9/58=",0)</f>
        <v>0</v>
      </c>
      <c r="FE3" t="e">
        <f>IF('INÍCIO NA 2ª FEIRA'!J:J,"AAAAAFW9/6A=",0)</f>
        <v>#VALUE!</v>
      </c>
      <c r="FF3" t="str">
        <f>IF('INÍCIO NA 2ª FEIRA'!K:K,"AAAAAFW9/6E=",0)</f>
        <v>AAAAAFW9/6E=</v>
      </c>
      <c r="FG3">
        <f>IF('INÍCIO NA 2ª FEIRA'!L:L,"AAAAAFW9/6I=",0)</f>
        <v>0</v>
      </c>
      <c r="FH3">
        <f>IF('INÍCIO NA 2ª FEIRA'!M:M,"AAAAAFW9/6M=",0)</f>
        <v>0</v>
      </c>
      <c r="FI3">
        <f>IF('INÍCIO NA 2ª FEIRA'!N:N,"AAAAAFW9/6Q=",0)</f>
        <v>0</v>
      </c>
      <c r="FJ3">
        <f>IF('INÍCIO NA 2ª FEIRA'!O:O,"AAAAAFW9/6U=",0)</f>
        <v>0</v>
      </c>
      <c r="FK3">
        <f>IF('INÍCIO NA 2ª FEIRA CONTÍNUO'!1:1,"AAAAAFW9/6Y=",0)</f>
        <v>0</v>
      </c>
      <c r="FL3" t="e">
        <f>AND('INÍCIO NA 2ª FEIRA CONTÍNUO'!A1,"AAAAAFW9/6c=")</f>
        <v>#VALUE!</v>
      </c>
      <c r="FM3" t="e">
        <f>AND('INÍCIO NA 2ª FEIRA CONTÍNUO'!B1,"AAAAAFW9/6g=")</f>
        <v>#VALUE!</v>
      </c>
      <c r="FN3" t="e">
        <f>AND('INÍCIO NA 2ª FEIRA CONTÍNUO'!C1,"AAAAAFW9/6k=")</f>
        <v>#VALUE!</v>
      </c>
      <c r="FO3" t="e">
        <f>AND('INÍCIO NA 2ª FEIRA CONTÍNUO'!D1,"AAAAAFW9/6o=")</f>
        <v>#VALUE!</v>
      </c>
      <c r="FP3" t="e">
        <f>AND('INÍCIO NA 2ª FEIRA CONTÍNUO'!E1,"AAAAAFW9/6s=")</f>
        <v>#VALUE!</v>
      </c>
      <c r="FQ3" t="e">
        <f>AND('INÍCIO NA 2ª FEIRA CONTÍNUO'!F1,"AAAAAFW9/6w=")</f>
        <v>#VALUE!</v>
      </c>
      <c r="FR3" t="e">
        <f>AND('INÍCIO NA 2ª FEIRA CONTÍNUO'!G1,"AAAAAFW9/60=")</f>
        <v>#VALUE!</v>
      </c>
      <c r="FS3" t="e">
        <f>AND('INÍCIO NA 2ª FEIRA CONTÍNUO'!H1,"AAAAAFW9/64=")</f>
        <v>#VALUE!</v>
      </c>
      <c r="FT3" t="e">
        <f>AND('INÍCIO NA 2ª FEIRA CONTÍNUO'!I1,"AAAAAFW9/68=")</f>
        <v>#VALUE!</v>
      </c>
      <c r="FU3" t="e">
        <f>AND('INÍCIO NA 2ª FEIRA CONTÍNUO'!J1,"AAAAAFW9/7A=")</f>
        <v>#VALUE!</v>
      </c>
      <c r="FV3" t="e">
        <f>AND('INÍCIO NA 2ª FEIRA CONTÍNUO'!K1,"AAAAAFW9/7E=")</f>
        <v>#VALUE!</v>
      </c>
      <c r="FW3" t="e">
        <f>AND('INÍCIO NA 2ª FEIRA CONTÍNUO'!L1,"AAAAAFW9/7I=")</f>
        <v>#VALUE!</v>
      </c>
      <c r="FX3" t="e">
        <f>AND('INÍCIO NA 2ª FEIRA CONTÍNUO'!M1,"AAAAAFW9/7M=")</f>
        <v>#VALUE!</v>
      </c>
      <c r="FY3" t="e">
        <f>AND('INÍCIO NA 2ª FEIRA CONTÍNUO'!N1,"AAAAAFW9/7Q=")</f>
        <v>#VALUE!</v>
      </c>
      <c r="FZ3" t="e">
        <f>AND('INÍCIO NA 2ª FEIRA CONTÍNUO'!O1,"AAAAAFW9/7U=")</f>
        <v>#VALUE!</v>
      </c>
      <c r="GA3">
        <f>IF('INÍCIO NA 2ª FEIRA CONTÍNUO'!2:2,"AAAAAFW9/7Y=",0)</f>
        <v>0</v>
      </c>
      <c r="GB3" t="e">
        <f>AND('INÍCIO NA 2ª FEIRA CONTÍNUO'!A2,"AAAAAFW9/7c=")</f>
        <v>#VALUE!</v>
      </c>
      <c r="GC3" t="e">
        <f>AND('INÍCIO NA 2ª FEIRA CONTÍNUO'!B2,"AAAAAFW9/7g=")</f>
        <v>#VALUE!</v>
      </c>
      <c r="GD3" t="e">
        <f>AND('INÍCIO NA 2ª FEIRA CONTÍNUO'!C2,"AAAAAFW9/7k=")</f>
        <v>#VALUE!</v>
      </c>
      <c r="GE3" t="e">
        <f>AND('INÍCIO NA 2ª FEIRA CONTÍNUO'!D2,"AAAAAFW9/7o=")</f>
        <v>#VALUE!</v>
      </c>
      <c r="GF3" t="e">
        <f>AND('INÍCIO NA 2ª FEIRA CONTÍNUO'!E2,"AAAAAFW9/7s=")</f>
        <v>#VALUE!</v>
      </c>
      <c r="GG3" t="e">
        <f>AND('INÍCIO NA 2ª FEIRA CONTÍNUO'!F2,"AAAAAFW9/7w=")</f>
        <v>#VALUE!</v>
      </c>
      <c r="GH3" t="e">
        <f>AND('INÍCIO NA 2ª FEIRA CONTÍNUO'!G2,"AAAAAFW9/70=")</f>
        <v>#VALUE!</v>
      </c>
      <c r="GI3" t="e">
        <f>AND('INÍCIO NA 2ª FEIRA CONTÍNUO'!H2,"AAAAAFW9/74=")</f>
        <v>#VALUE!</v>
      </c>
      <c r="GJ3" t="e">
        <f>AND('INÍCIO NA 2ª FEIRA CONTÍNUO'!I2,"AAAAAFW9/78=")</f>
        <v>#VALUE!</v>
      </c>
      <c r="GK3" t="e">
        <f>AND('INÍCIO NA 2ª FEIRA CONTÍNUO'!J2,"AAAAAFW9/8A=")</f>
        <v>#VALUE!</v>
      </c>
      <c r="GL3" t="e">
        <f>AND('INÍCIO NA 2ª FEIRA CONTÍNUO'!K2,"AAAAAFW9/8E=")</f>
        <v>#VALUE!</v>
      </c>
      <c r="GM3" t="e">
        <f>AND('INÍCIO NA 2ª FEIRA CONTÍNUO'!L2,"AAAAAFW9/8I=")</f>
        <v>#VALUE!</v>
      </c>
      <c r="GN3" t="e">
        <f>AND('INÍCIO NA 2ª FEIRA CONTÍNUO'!M2,"AAAAAFW9/8M=")</f>
        <v>#VALUE!</v>
      </c>
      <c r="GO3" t="e">
        <f>AND('INÍCIO NA 2ª FEIRA CONTÍNUO'!N2,"AAAAAFW9/8Q=")</f>
        <v>#VALUE!</v>
      </c>
      <c r="GP3" t="e">
        <f>AND('INÍCIO NA 2ª FEIRA CONTÍNUO'!O2,"AAAAAFW9/8U=")</f>
        <v>#VALUE!</v>
      </c>
      <c r="GQ3">
        <f>IF('INÍCIO NA 2ª FEIRA CONTÍNUO'!3:3,"AAAAAFW9/8Y=",0)</f>
        <v>0</v>
      </c>
      <c r="GR3" t="e">
        <f>AND('INÍCIO NA 2ª FEIRA CONTÍNUO'!A3,"AAAAAFW9/8c=")</f>
        <v>#VALUE!</v>
      </c>
      <c r="GS3" t="e">
        <f>AND('INÍCIO NA 2ª FEIRA CONTÍNUO'!B3,"AAAAAFW9/8g=")</f>
        <v>#VALUE!</v>
      </c>
      <c r="GT3" t="e">
        <f>AND('INÍCIO NA 2ª FEIRA CONTÍNUO'!C3,"AAAAAFW9/8k=")</f>
        <v>#VALUE!</v>
      </c>
      <c r="GU3" t="e">
        <f>AND('INÍCIO NA 2ª FEIRA CONTÍNUO'!D3,"AAAAAFW9/8o=")</f>
        <v>#VALUE!</v>
      </c>
      <c r="GV3" t="e">
        <f>AND('INÍCIO NA 2ª FEIRA CONTÍNUO'!E3,"AAAAAFW9/8s=")</f>
        <v>#VALUE!</v>
      </c>
      <c r="GW3" t="e">
        <f>AND('INÍCIO NA 2ª FEIRA CONTÍNUO'!F3,"AAAAAFW9/8w=")</f>
        <v>#VALUE!</v>
      </c>
      <c r="GX3" t="e">
        <f>AND('INÍCIO NA 2ª FEIRA CONTÍNUO'!G3,"AAAAAFW9/80=")</f>
        <v>#VALUE!</v>
      </c>
      <c r="GY3" t="e">
        <f>AND('INÍCIO NA 2ª FEIRA CONTÍNUO'!H3,"AAAAAFW9/84=")</f>
        <v>#VALUE!</v>
      </c>
      <c r="GZ3" t="e">
        <f>AND('INÍCIO NA 2ª FEIRA CONTÍNUO'!I3,"AAAAAFW9/88=")</f>
        <v>#VALUE!</v>
      </c>
      <c r="HA3" t="e">
        <f>AND('INÍCIO NA 2ª FEIRA CONTÍNUO'!J3,"AAAAAFW9/9A=")</f>
        <v>#VALUE!</v>
      </c>
      <c r="HB3" t="e">
        <f>AND('INÍCIO NA 2ª FEIRA CONTÍNUO'!K3,"AAAAAFW9/9E=")</f>
        <v>#VALUE!</v>
      </c>
      <c r="HC3" t="e">
        <f>AND('INÍCIO NA 2ª FEIRA CONTÍNUO'!L3,"AAAAAFW9/9I=")</f>
        <v>#VALUE!</v>
      </c>
      <c r="HD3" t="e">
        <f>AND('INÍCIO NA 2ª FEIRA CONTÍNUO'!M3,"AAAAAFW9/9M=")</f>
        <v>#VALUE!</v>
      </c>
      <c r="HE3" t="e">
        <f>AND('INÍCIO NA 2ª FEIRA CONTÍNUO'!N3,"AAAAAFW9/9Q=")</f>
        <v>#VALUE!</v>
      </c>
      <c r="HF3" t="e">
        <f>AND('INÍCIO NA 2ª FEIRA CONTÍNUO'!O3,"AAAAAFW9/9U=")</f>
        <v>#VALUE!</v>
      </c>
      <c r="HG3">
        <f>IF('INÍCIO NA 2ª FEIRA CONTÍNUO'!4:4,"AAAAAFW9/9Y=",0)</f>
        <v>0</v>
      </c>
      <c r="HH3" t="e">
        <f>AND('INÍCIO NA 2ª FEIRA CONTÍNUO'!A4,"AAAAAFW9/9c=")</f>
        <v>#VALUE!</v>
      </c>
      <c r="HI3" t="e">
        <f>AND('INÍCIO NA 2ª FEIRA CONTÍNUO'!B4,"AAAAAFW9/9g=")</f>
        <v>#VALUE!</v>
      </c>
      <c r="HJ3" t="e">
        <f>AND('INÍCIO NA 2ª FEIRA CONTÍNUO'!C4,"AAAAAFW9/9k=")</f>
        <v>#VALUE!</v>
      </c>
      <c r="HK3" t="e">
        <f>AND('INÍCIO NA 2ª FEIRA CONTÍNUO'!D4,"AAAAAFW9/9o=")</f>
        <v>#VALUE!</v>
      </c>
      <c r="HL3" t="e">
        <f>AND('INÍCIO NA 2ª FEIRA CONTÍNUO'!E4,"AAAAAFW9/9s=")</f>
        <v>#VALUE!</v>
      </c>
      <c r="HM3" t="e">
        <f>AND('INÍCIO NA 2ª FEIRA CONTÍNUO'!F4,"AAAAAFW9/9w=")</f>
        <v>#VALUE!</v>
      </c>
      <c r="HN3" t="e">
        <f>AND('INÍCIO NA 2ª FEIRA CONTÍNUO'!G4,"AAAAAFW9/90=")</f>
        <v>#VALUE!</v>
      </c>
      <c r="HO3" t="e">
        <f>AND('INÍCIO NA 2ª FEIRA CONTÍNUO'!H4,"AAAAAFW9/94=")</f>
        <v>#VALUE!</v>
      </c>
      <c r="HP3" t="e">
        <f>AND('INÍCIO NA 2ª FEIRA CONTÍNUO'!I4,"AAAAAFW9/98=")</f>
        <v>#VALUE!</v>
      </c>
      <c r="HQ3" t="e">
        <f>AND('INÍCIO NA 2ª FEIRA CONTÍNUO'!J4,"AAAAAFW9/+A=")</f>
        <v>#VALUE!</v>
      </c>
      <c r="HR3" t="e">
        <f>AND('INÍCIO NA 2ª FEIRA CONTÍNUO'!K4,"AAAAAFW9/+E=")</f>
        <v>#VALUE!</v>
      </c>
      <c r="HS3" t="e">
        <f>AND('INÍCIO NA 2ª FEIRA CONTÍNUO'!L4,"AAAAAFW9/+I=")</f>
        <v>#VALUE!</v>
      </c>
      <c r="HT3" t="e">
        <f>AND('INÍCIO NA 2ª FEIRA CONTÍNUO'!M4,"AAAAAFW9/+M=")</f>
        <v>#VALUE!</v>
      </c>
      <c r="HU3" t="e">
        <f>AND('INÍCIO NA 2ª FEIRA CONTÍNUO'!N4,"AAAAAFW9/+Q=")</f>
        <v>#VALUE!</v>
      </c>
      <c r="HV3" t="e">
        <f>AND('INÍCIO NA 2ª FEIRA CONTÍNUO'!O4,"AAAAAFW9/+U=")</f>
        <v>#VALUE!</v>
      </c>
      <c r="HW3">
        <f>IF('INÍCIO NA 2ª FEIRA CONTÍNUO'!5:5,"AAAAAFW9/+Y=",0)</f>
        <v>0</v>
      </c>
      <c r="HX3" t="e">
        <f>AND('INÍCIO NA 2ª FEIRA CONTÍNUO'!A5,"AAAAAFW9/+c=")</f>
        <v>#VALUE!</v>
      </c>
      <c r="HY3" t="e">
        <f>AND('INÍCIO NA 2ª FEIRA CONTÍNUO'!B5,"AAAAAFW9/+g=")</f>
        <v>#VALUE!</v>
      </c>
      <c r="HZ3" t="e">
        <f>AND('INÍCIO NA 2ª FEIRA CONTÍNUO'!C5,"AAAAAFW9/+k=")</f>
        <v>#VALUE!</v>
      </c>
      <c r="IA3" t="e">
        <f>AND('INÍCIO NA 2ª FEIRA CONTÍNUO'!D5,"AAAAAFW9/+o=")</f>
        <v>#VALUE!</v>
      </c>
      <c r="IB3" t="e">
        <f>AND('INÍCIO NA 2ª FEIRA CONTÍNUO'!E5,"AAAAAFW9/+s=")</f>
        <v>#VALUE!</v>
      </c>
      <c r="IC3" t="e">
        <f>AND('INÍCIO NA 2ª FEIRA CONTÍNUO'!F5,"AAAAAFW9/+w=")</f>
        <v>#VALUE!</v>
      </c>
      <c r="ID3" t="e">
        <f>AND('INÍCIO NA 2ª FEIRA CONTÍNUO'!G5,"AAAAAFW9/+0=")</f>
        <v>#VALUE!</v>
      </c>
      <c r="IE3" t="e">
        <f>AND('INÍCIO NA 2ª FEIRA CONTÍNUO'!H5,"AAAAAFW9/+4=")</f>
        <v>#VALUE!</v>
      </c>
      <c r="IF3" t="e">
        <f>AND('INÍCIO NA 2ª FEIRA CONTÍNUO'!I5,"AAAAAFW9/+8=")</f>
        <v>#VALUE!</v>
      </c>
      <c r="IG3" t="e">
        <f>AND('INÍCIO NA 2ª FEIRA CONTÍNUO'!J5,"AAAAAFW9//A=")</f>
        <v>#VALUE!</v>
      </c>
      <c r="IH3" t="e">
        <f>AND('INÍCIO NA 2ª FEIRA CONTÍNUO'!K5,"AAAAAFW9//E=")</f>
        <v>#VALUE!</v>
      </c>
      <c r="II3" t="e">
        <f>AND('INÍCIO NA 2ª FEIRA CONTÍNUO'!L5,"AAAAAFW9//I=")</f>
        <v>#VALUE!</v>
      </c>
      <c r="IJ3" t="e">
        <f>AND('INÍCIO NA 2ª FEIRA CONTÍNUO'!M5,"AAAAAFW9//M=")</f>
        <v>#VALUE!</v>
      </c>
      <c r="IK3" t="e">
        <f>AND('INÍCIO NA 2ª FEIRA CONTÍNUO'!N5,"AAAAAFW9//Q=")</f>
        <v>#VALUE!</v>
      </c>
      <c r="IL3" t="e">
        <f>AND('INÍCIO NA 2ª FEIRA CONTÍNUO'!O5,"AAAAAFW9//U=")</f>
        <v>#VALUE!</v>
      </c>
      <c r="IM3">
        <f>IF('INÍCIO NA 2ª FEIRA CONTÍNUO'!6:6,"AAAAAFW9//Y=",0)</f>
        <v>0</v>
      </c>
      <c r="IN3" t="e">
        <f>AND('INÍCIO NA 2ª FEIRA CONTÍNUO'!A6,"AAAAAFW9//c=")</f>
        <v>#VALUE!</v>
      </c>
      <c r="IO3" t="e">
        <f>AND('INÍCIO NA 2ª FEIRA CONTÍNUO'!B6,"AAAAAFW9//g=")</f>
        <v>#VALUE!</v>
      </c>
      <c r="IP3" t="e">
        <f>AND('INÍCIO NA 2ª FEIRA CONTÍNUO'!C6,"AAAAAFW9//k=")</f>
        <v>#VALUE!</v>
      </c>
      <c r="IQ3" t="e">
        <f>AND('INÍCIO NA 2ª FEIRA CONTÍNUO'!D6,"AAAAAFW9//o=")</f>
        <v>#VALUE!</v>
      </c>
      <c r="IR3" t="e">
        <f>AND('INÍCIO NA 2ª FEIRA CONTÍNUO'!E6,"AAAAAFW9//s=")</f>
        <v>#VALUE!</v>
      </c>
      <c r="IS3" t="e">
        <f>AND('INÍCIO NA 2ª FEIRA CONTÍNUO'!F6,"AAAAAFW9//w=")</f>
        <v>#VALUE!</v>
      </c>
      <c r="IT3" t="e">
        <f>AND('INÍCIO NA 2ª FEIRA CONTÍNUO'!G6,"AAAAAFW9//0=")</f>
        <v>#VALUE!</v>
      </c>
      <c r="IU3" t="e">
        <f>AND('INÍCIO NA 2ª FEIRA CONTÍNUO'!H6,"AAAAAFW9//4=")</f>
        <v>#VALUE!</v>
      </c>
      <c r="IV3" t="e">
        <f>AND('INÍCIO NA 2ª FEIRA CONTÍNUO'!I6,"AAAAAFW9//8=")</f>
        <v>#VALUE!</v>
      </c>
    </row>
    <row r="4" spans="1:256" x14ac:dyDescent="0.3">
      <c r="A4" t="e">
        <f>AND('INÍCIO NA 2ª FEIRA CONTÍNUO'!J6,"AAAAAD21rwA=")</f>
        <v>#VALUE!</v>
      </c>
      <c r="B4" t="e">
        <f>AND('INÍCIO NA 2ª FEIRA CONTÍNUO'!K6,"AAAAAD21rwE=")</f>
        <v>#VALUE!</v>
      </c>
      <c r="C4" t="e">
        <f>AND('INÍCIO NA 2ª FEIRA CONTÍNUO'!L6,"AAAAAD21rwI=")</f>
        <v>#VALUE!</v>
      </c>
      <c r="D4" t="e">
        <f>AND('INÍCIO NA 2ª FEIRA CONTÍNUO'!M6,"AAAAAD21rwM=")</f>
        <v>#VALUE!</v>
      </c>
      <c r="E4" t="e">
        <f>AND('INÍCIO NA 2ª FEIRA CONTÍNUO'!N6,"AAAAAD21rwQ=")</f>
        <v>#VALUE!</v>
      </c>
      <c r="F4" t="e">
        <f>AND('INÍCIO NA 2ª FEIRA CONTÍNUO'!O6,"AAAAAD21rwU=")</f>
        <v>#VALUE!</v>
      </c>
      <c r="G4" t="str">
        <f>IF('INÍCIO NA 2ª FEIRA CONTÍNUO'!7:7,"AAAAAD21rwY=",0)</f>
        <v>AAAAAD21rwY=</v>
      </c>
      <c r="H4" t="e">
        <f>AND('INÍCIO NA 2ª FEIRA CONTÍNUO'!A7,"AAAAAD21rwc=")</f>
        <v>#VALUE!</v>
      </c>
      <c r="I4" t="e">
        <f>AND('INÍCIO NA 2ª FEIRA CONTÍNUO'!B7,"AAAAAD21rwg=")</f>
        <v>#VALUE!</v>
      </c>
      <c r="J4" t="e">
        <f>AND('INÍCIO NA 2ª FEIRA CONTÍNUO'!C7,"AAAAAD21rwk=")</f>
        <v>#VALUE!</v>
      </c>
      <c r="K4" t="e">
        <f>AND('INÍCIO NA 2ª FEIRA CONTÍNUO'!D7,"AAAAAD21rwo=")</f>
        <v>#VALUE!</v>
      </c>
      <c r="L4" t="e">
        <f>AND('INÍCIO NA 2ª FEIRA CONTÍNUO'!E7,"AAAAAD21rws=")</f>
        <v>#VALUE!</v>
      </c>
      <c r="M4" t="e">
        <f>AND('INÍCIO NA 2ª FEIRA CONTÍNUO'!F7,"AAAAAD21rww=")</f>
        <v>#VALUE!</v>
      </c>
      <c r="N4" t="e">
        <f>AND('INÍCIO NA 2ª FEIRA CONTÍNUO'!G7,"AAAAAD21rw0=")</f>
        <v>#VALUE!</v>
      </c>
      <c r="O4" t="e">
        <f>AND('INÍCIO NA 2ª FEIRA CONTÍNUO'!H7,"AAAAAD21rw4=")</f>
        <v>#VALUE!</v>
      </c>
      <c r="P4" t="e">
        <f>AND('INÍCIO NA 2ª FEIRA CONTÍNUO'!I7,"AAAAAD21rw8=")</f>
        <v>#VALUE!</v>
      </c>
      <c r="Q4" t="e">
        <f>AND('INÍCIO NA 2ª FEIRA CONTÍNUO'!J7,"AAAAAD21rxA=")</f>
        <v>#VALUE!</v>
      </c>
      <c r="R4" t="e">
        <f>AND('INÍCIO NA 2ª FEIRA CONTÍNUO'!K7,"AAAAAD21rxE=")</f>
        <v>#VALUE!</v>
      </c>
      <c r="S4" t="e">
        <f>AND('INÍCIO NA 2ª FEIRA CONTÍNUO'!L7,"AAAAAD21rxI=")</f>
        <v>#VALUE!</v>
      </c>
      <c r="T4" t="e">
        <f>AND('INÍCIO NA 2ª FEIRA CONTÍNUO'!M7,"AAAAAD21rxM=")</f>
        <v>#VALUE!</v>
      </c>
      <c r="U4" t="e">
        <f>AND('INÍCIO NA 2ª FEIRA CONTÍNUO'!N7,"AAAAAD21rxQ=")</f>
        <v>#VALUE!</v>
      </c>
      <c r="V4" t="e">
        <f>AND('INÍCIO NA 2ª FEIRA CONTÍNUO'!O7,"AAAAAD21rxU=")</f>
        <v>#VALUE!</v>
      </c>
      <c r="W4">
        <f>IF('INÍCIO NA 2ª FEIRA CONTÍNUO'!8:8,"AAAAAD21rxY=",0)</f>
        <v>0</v>
      </c>
      <c r="X4" t="e">
        <f>AND('INÍCIO NA 2ª FEIRA CONTÍNUO'!A8,"AAAAAD21rxc=")</f>
        <v>#VALUE!</v>
      </c>
      <c r="Y4" t="e">
        <f>AND('INÍCIO NA 2ª FEIRA CONTÍNUO'!B8,"AAAAAD21rxg=")</f>
        <v>#VALUE!</v>
      </c>
      <c r="Z4" t="e">
        <f>AND('INÍCIO NA 2ª FEIRA CONTÍNUO'!C8,"AAAAAD21rxk=")</f>
        <v>#VALUE!</v>
      </c>
      <c r="AA4" t="e">
        <f>AND('INÍCIO NA 2ª FEIRA CONTÍNUO'!D8,"AAAAAD21rxo=")</f>
        <v>#VALUE!</v>
      </c>
      <c r="AB4" t="e">
        <f>AND('INÍCIO NA 2ª FEIRA CONTÍNUO'!E8,"AAAAAD21rxs=")</f>
        <v>#VALUE!</v>
      </c>
      <c r="AC4" t="e">
        <f>AND('INÍCIO NA 2ª FEIRA CONTÍNUO'!F8,"AAAAAD21rxw=")</f>
        <v>#VALUE!</v>
      </c>
      <c r="AD4" t="e">
        <f>AND('INÍCIO NA 2ª FEIRA CONTÍNUO'!G8,"AAAAAD21rx0=")</f>
        <v>#VALUE!</v>
      </c>
      <c r="AE4" t="e">
        <f>AND('INÍCIO NA 2ª FEIRA CONTÍNUO'!H8,"AAAAAD21rx4=")</f>
        <v>#VALUE!</v>
      </c>
      <c r="AF4" t="e">
        <f>AND('INÍCIO NA 2ª FEIRA CONTÍNUO'!I8,"AAAAAD21rx8=")</f>
        <v>#VALUE!</v>
      </c>
      <c r="AG4" t="e">
        <f>AND('INÍCIO NA 2ª FEIRA CONTÍNUO'!J8,"AAAAAD21ryA=")</f>
        <v>#VALUE!</v>
      </c>
      <c r="AH4" t="e">
        <f>AND('INÍCIO NA 2ª FEIRA CONTÍNUO'!K8,"AAAAAD21ryE=")</f>
        <v>#VALUE!</v>
      </c>
      <c r="AI4" t="e">
        <f>AND('INÍCIO NA 2ª FEIRA CONTÍNUO'!L8,"AAAAAD21ryI=")</f>
        <v>#VALUE!</v>
      </c>
      <c r="AJ4" t="e">
        <f>AND('INÍCIO NA 2ª FEIRA CONTÍNUO'!M8,"AAAAAD21ryM=")</f>
        <v>#VALUE!</v>
      </c>
      <c r="AK4" t="e">
        <f>AND('INÍCIO NA 2ª FEIRA CONTÍNUO'!N8,"AAAAAD21ryQ=")</f>
        <v>#VALUE!</v>
      </c>
      <c r="AL4" t="e">
        <f>AND('INÍCIO NA 2ª FEIRA CONTÍNUO'!O8,"AAAAAD21ryU=")</f>
        <v>#VALUE!</v>
      </c>
      <c r="AM4">
        <f>IF('INÍCIO NA 2ª FEIRA CONTÍNUO'!9:9,"AAAAAD21ryY=",0)</f>
        <v>0</v>
      </c>
      <c r="AN4" t="e">
        <f>AND('INÍCIO NA 2ª FEIRA CONTÍNUO'!A9,"AAAAAD21ryc=")</f>
        <v>#VALUE!</v>
      </c>
      <c r="AO4" t="e">
        <f>AND('INÍCIO NA 2ª FEIRA CONTÍNUO'!B9,"AAAAAD21ryg=")</f>
        <v>#VALUE!</v>
      </c>
      <c r="AP4" t="e">
        <f>AND('INÍCIO NA 2ª FEIRA CONTÍNUO'!C9,"AAAAAD21ryk=")</f>
        <v>#VALUE!</v>
      </c>
      <c r="AQ4" t="e">
        <f>AND('INÍCIO NA 2ª FEIRA CONTÍNUO'!D9,"AAAAAD21ryo=")</f>
        <v>#VALUE!</v>
      </c>
      <c r="AR4" t="e">
        <f>AND('INÍCIO NA 2ª FEIRA CONTÍNUO'!E9,"AAAAAD21rys=")</f>
        <v>#VALUE!</v>
      </c>
      <c r="AS4" t="e">
        <f>AND('INÍCIO NA 2ª FEIRA CONTÍNUO'!F9,"AAAAAD21ryw=")</f>
        <v>#VALUE!</v>
      </c>
      <c r="AT4" t="e">
        <f>AND('INÍCIO NA 2ª FEIRA CONTÍNUO'!G9,"AAAAAD21ry0=")</f>
        <v>#VALUE!</v>
      </c>
      <c r="AU4" t="e">
        <f>AND('INÍCIO NA 2ª FEIRA CONTÍNUO'!H9,"AAAAAD21ry4=")</f>
        <v>#VALUE!</v>
      </c>
      <c r="AV4" t="e">
        <f>AND('INÍCIO NA 2ª FEIRA CONTÍNUO'!I9,"AAAAAD21ry8=")</f>
        <v>#VALUE!</v>
      </c>
      <c r="AW4" t="e">
        <f>AND('INÍCIO NA 2ª FEIRA CONTÍNUO'!J9,"AAAAAD21rzA=")</f>
        <v>#VALUE!</v>
      </c>
      <c r="AX4" t="e">
        <f>AND('INÍCIO NA 2ª FEIRA CONTÍNUO'!K9,"AAAAAD21rzE=")</f>
        <v>#VALUE!</v>
      </c>
      <c r="AY4" t="e">
        <f>AND('INÍCIO NA 2ª FEIRA CONTÍNUO'!L9,"AAAAAD21rzI=")</f>
        <v>#VALUE!</v>
      </c>
      <c r="AZ4" t="e">
        <f>AND('INÍCIO NA 2ª FEIRA CONTÍNUO'!M9,"AAAAAD21rzM=")</f>
        <v>#VALUE!</v>
      </c>
      <c r="BA4" t="e">
        <f>AND('INÍCIO NA 2ª FEIRA CONTÍNUO'!N9,"AAAAAD21rzQ=")</f>
        <v>#VALUE!</v>
      </c>
      <c r="BB4" t="e">
        <f>AND('INÍCIO NA 2ª FEIRA CONTÍNUO'!O9,"AAAAAD21rzU=")</f>
        <v>#VALUE!</v>
      </c>
      <c r="BC4">
        <f>IF('INÍCIO NA 2ª FEIRA CONTÍNUO'!10:10,"AAAAAD21rzY=",0)</f>
        <v>0</v>
      </c>
      <c r="BD4" t="e">
        <f>AND('INÍCIO NA 2ª FEIRA CONTÍNUO'!A10,"AAAAAD21rzc=")</f>
        <v>#VALUE!</v>
      </c>
      <c r="BE4" t="e">
        <f>AND('INÍCIO NA 2ª FEIRA CONTÍNUO'!B10,"AAAAAD21rzg=")</f>
        <v>#VALUE!</v>
      </c>
      <c r="BF4" t="e">
        <f>AND('INÍCIO NA 2ª FEIRA CONTÍNUO'!C10,"AAAAAD21rzk=")</f>
        <v>#VALUE!</v>
      </c>
      <c r="BG4" t="e">
        <f>AND('INÍCIO NA 2ª FEIRA CONTÍNUO'!D10,"AAAAAD21rzo=")</f>
        <v>#VALUE!</v>
      </c>
      <c r="BH4" t="e">
        <f>AND('INÍCIO NA 2ª FEIRA CONTÍNUO'!E10,"AAAAAD21rzs=")</f>
        <v>#VALUE!</v>
      </c>
      <c r="BI4" t="e">
        <f>AND('INÍCIO NA 2ª FEIRA CONTÍNUO'!F10,"AAAAAD21rzw=")</f>
        <v>#VALUE!</v>
      </c>
      <c r="BJ4" t="e">
        <f>AND('INÍCIO NA 2ª FEIRA CONTÍNUO'!G10,"AAAAAD21rz0=")</f>
        <v>#VALUE!</v>
      </c>
      <c r="BK4" t="e">
        <f>AND('INÍCIO NA 2ª FEIRA CONTÍNUO'!H10,"AAAAAD21rz4=")</f>
        <v>#VALUE!</v>
      </c>
      <c r="BL4" t="e">
        <f>AND('INÍCIO NA 2ª FEIRA CONTÍNUO'!I10,"AAAAAD21rz8=")</f>
        <v>#VALUE!</v>
      </c>
      <c r="BM4" t="e">
        <f>AND('INÍCIO NA 2ª FEIRA CONTÍNUO'!J10,"AAAAAD21r0A=")</f>
        <v>#VALUE!</v>
      </c>
      <c r="BN4" t="e">
        <f>AND('INÍCIO NA 2ª FEIRA CONTÍNUO'!K10,"AAAAAD21r0E=")</f>
        <v>#VALUE!</v>
      </c>
      <c r="BO4" t="e">
        <f>AND('INÍCIO NA 2ª FEIRA CONTÍNUO'!L10,"AAAAAD21r0I=")</f>
        <v>#VALUE!</v>
      </c>
      <c r="BP4" t="e">
        <f>AND('INÍCIO NA 2ª FEIRA CONTÍNUO'!M10,"AAAAAD21r0M=")</f>
        <v>#VALUE!</v>
      </c>
      <c r="BQ4" t="e">
        <f>AND('INÍCIO NA 2ª FEIRA CONTÍNUO'!N10,"AAAAAD21r0Q=")</f>
        <v>#VALUE!</v>
      </c>
      <c r="BR4" t="e">
        <f>AND('INÍCIO NA 2ª FEIRA CONTÍNUO'!O10,"AAAAAD21r0U=")</f>
        <v>#VALUE!</v>
      </c>
      <c r="BS4">
        <f>IF('INÍCIO NA 2ª FEIRA CONTÍNUO'!11:11,"AAAAAD21r0Y=",0)</f>
        <v>0</v>
      </c>
      <c r="BT4" t="e">
        <f>AND('INÍCIO NA 2ª FEIRA CONTÍNUO'!A11,"AAAAAD21r0c=")</f>
        <v>#VALUE!</v>
      </c>
      <c r="BU4" t="e">
        <f>AND('INÍCIO NA 2ª FEIRA CONTÍNUO'!B11,"AAAAAD21r0g=")</f>
        <v>#VALUE!</v>
      </c>
      <c r="BV4" t="e">
        <f>AND('INÍCIO NA 2ª FEIRA CONTÍNUO'!C11,"AAAAAD21r0k=")</f>
        <v>#VALUE!</v>
      </c>
      <c r="BW4" t="e">
        <f>AND('INÍCIO NA 2ª FEIRA CONTÍNUO'!D11,"AAAAAD21r0o=")</f>
        <v>#VALUE!</v>
      </c>
      <c r="BX4" t="e">
        <f>AND('INÍCIO NA 2ª FEIRA CONTÍNUO'!E11,"AAAAAD21r0s=")</f>
        <v>#VALUE!</v>
      </c>
      <c r="BY4" t="e">
        <f>AND('INÍCIO NA 2ª FEIRA CONTÍNUO'!F11,"AAAAAD21r0w=")</f>
        <v>#VALUE!</v>
      </c>
      <c r="BZ4" t="e">
        <f>AND('INÍCIO NA 2ª FEIRA CONTÍNUO'!G11,"AAAAAD21r00=")</f>
        <v>#VALUE!</v>
      </c>
      <c r="CA4" t="e">
        <f>AND('INÍCIO NA 2ª FEIRA CONTÍNUO'!H11,"AAAAAD21r04=")</f>
        <v>#VALUE!</v>
      </c>
      <c r="CB4" t="e">
        <f>AND('INÍCIO NA 2ª FEIRA CONTÍNUO'!I11,"AAAAAD21r08=")</f>
        <v>#VALUE!</v>
      </c>
      <c r="CC4" t="e">
        <f>AND('INÍCIO NA 2ª FEIRA CONTÍNUO'!J11,"AAAAAD21r1A=")</f>
        <v>#VALUE!</v>
      </c>
      <c r="CD4" t="e">
        <f>AND('INÍCIO NA 2ª FEIRA CONTÍNUO'!K11,"AAAAAD21r1E=")</f>
        <v>#VALUE!</v>
      </c>
      <c r="CE4" t="e">
        <f>AND('INÍCIO NA 2ª FEIRA CONTÍNUO'!L11,"AAAAAD21r1I=")</f>
        <v>#VALUE!</v>
      </c>
      <c r="CF4" t="e">
        <f>AND('INÍCIO NA 2ª FEIRA CONTÍNUO'!M11,"AAAAAD21r1M=")</f>
        <v>#VALUE!</v>
      </c>
      <c r="CG4" t="e">
        <f>AND('INÍCIO NA 2ª FEIRA CONTÍNUO'!N11,"AAAAAD21r1Q=")</f>
        <v>#VALUE!</v>
      </c>
      <c r="CH4" t="e">
        <f>AND('INÍCIO NA 2ª FEIRA CONTÍNUO'!O11,"AAAAAD21r1U=")</f>
        <v>#VALUE!</v>
      </c>
      <c r="CI4">
        <f>IF('INÍCIO NA 2ª FEIRA CONTÍNUO'!12:12,"AAAAAD21r1Y=",0)</f>
        <v>0</v>
      </c>
      <c r="CJ4" t="e">
        <f>AND('INÍCIO NA 2ª FEIRA CONTÍNUO'!A12,"AAAAAD21r1c=")</f>
        <v>#VALUE!</v>
      </c>
      <c r="CK4" t="e">
        <f>AND('INÍCIO NA 2ª FEIRA CONTÍNUO'!B12,"AAAAAD21r1g=")</f>
        <v>#VALUE!</v>
      </c>
      <c r="CL4" t="e">
        <f>AND('INÍCIO NA 2ª FEIRA CONTÍNUO'!C12,"AAAAAD21r1k=")</f>
        <v>#VALUE!</v>
      </c>
      <c r="CM4" t="e">
        <f>AND('INÍCIO NA 2ª FEIRA CONTÍNUO'!D12,"AAAAAD21r1o=")</f>
        <v>#VALUE!</v>
      </c>
      <c r="CN4" t="e">
        <f>AND('INÍCIO NA 2ª FEIRA CONTÍNUO'!E12,"AAAAAD21r1s=")</f>
        <v>#VALUE!</v>
      </c>
      <c r="CO4" t="e">
        <f>AND('INÍCIO NA 2ª FEIRA CONTÍNUO'!F12,"AAAAAD21r1w=")</f>
        <v>#VALUE!</v>
      </c>
      <c r="CP4" t="e">
        <f>AND('INÍCIO NA 2ª FEIRA CONTÍNUO'!G12,"AAAAAD21r10=")</f>
        <v>#VALUE!</v>
      </c>
      <c r="CQ4" t="e">
        <f>AND('INÍCIO NA 2ª FEIRA CONTÍNUO'!H12,"AAAAAD21r14=")</f>
        <v>#VALUE!</v>
      </c>
      <c r="CR4" t="e">
        <f>AND('INÍCIO NA 2ª FEIRA CONTÍNUO'!I12,"AAAAAD21r18=")</f>
        <v>#VALUE!</v>
      </c>
      <c r="CS4" t="e">
        <f>AND('INÍCIO NA 2ª FEIRA CONTÍNUO'!J12,"AAAAAD21r2A=")</f>
        <v>#VALUE!</v>
      </c>
      <c r="CT4" t="e">
        <f>AND('INÍCIO NA 2ª FEIRA CONTÍNUO'!K12,"AAAAAD21r2E=")</f>
        <v>#VALUE!</v>
      </c>
      <c r="CU4" t="e">
        <f>AND('INÍCIO NA 2ª FEIRA CONTÍNUO'!L12,"AAAAAD21r2I=")</f>
        <v>#VALUE!</v>
      </c>
      <c r="CV4" t="e">
        <f>AND('INÍCIO NA 2ª FEIRA CONTÍNUO'!M12,"AAAAAD21r2M=")</f>
        <v>#VALUE!</v>
      </c>
      <c r="CW4" t="e">
        <f>AND('INÍCIO NA 2ª FEIRA CONTÍNUO'!N12,"AAAAAD21r2Q=")</f>
        <v>#VALUE!</v>
      </c>
      <c r="CX4" t="e">
        <f>AND('INÍCIO NA 2ª FEIRA CONTÍNUO'!O12,"AAAAAD21r2U=")</f>
        <v>#VALUE!</v>
      </c>
      <c r="CY4">
        <f>IF('INÍCIO NA 2ª FEIRA CONTÍNUO'!13:13,"AAAAAD21r2Y=",0)</f>
        <v>0</v>
      </c>
      <c r="CZ4" t="e">
        <f>AND('INÍCIO NA 2ª FEIRA CONTÍNUO'!A13,"AAAAAD21r2c=")</f>
        <v>#VALUE!</v>
      </c>
      <c r="DA4" t="e">
        <f>AND('INÍCIO NA 2ª FEIRA CONTÍNUO'!B13,"AAAAAD21r2g=")</f>
        <v>#VALUE!</v>
      </c>
      <c r="DB4" t="e">
        <f>AND('INÍCIO NA 2ª FEIRA CONTÍNUO'!C13,"AAAAAD21r2k=")</f>
        <v>#VALUE!</v>
      </c>
      <c r="DC4" t="e">
        <f>AND('INÍCIO NA 2ª FEIRA CONTÍNUO'!D13,"AAAAAD21r2o=")</f>
        <v>#VALUE!</v>
      </c>
      <c r="DD4" t="e">
        <f>AND('INÍCIO NA 2ª FEIRA CONTÍNUO'!E13,"AAAAAD21r2s=")</f>
        <v>#VALUE!</v>
      </c>
      <c r="DE4" t="e">
        <f>AND('INÍCIO NA 2ª FEIRA CONTÍNUO'!F13,"AAAAAD21r2w=")</f>
        <v>#VALUE!</v>
      </c>
      <c r="DF4" t="e">
        <f>AND('INÍCIO NA 2ª FEIRA CONTÍNUO'!G13,"AAAAAD21r20=")</f>
        <v>#VALUE!</v>
      </c>
      <c r="DG4" t="e">
        <f>AND('INÍCIO NA 2ª FEIRA CONTÍNUO'!H13,"AAAAAD21r24=")</f>
        <v>#VALUE!</v>
      </c>
      <c r="DH4" t="e">
        <f>AND('INÍCIO NA 2ª FEIRA CONTÍNUO'!I13,"AAAAAD21r28=")</f>
        <v>#VALUE!</v>
      </c>
      <c r="DI4" t="e">
        <f>AND('INÍCIO NA 2ª FEIRA CONTÍNUO'!J13,"AAAAAD21r3A=")</f>
        <v>#VALUE!</v>
      </c>
      <c r="DJ4" t="e">
        <f>AND('INÍCIO NA 2ª FEIRA CONTÍNUO'!K13,"AAAAAD21r3E=")</f>
        <v>#VALUE!</v>
      </c>
      <c r="DK4" t="e">
        <f>AND('INÍCIO NA 2ª FEIRA CONTÍNUO'!L13,"AAAAAD21r3I=")</f>
        <v>#VALUE!</v>
      </c>
      <c r="DL4" t="e">
        <f>AND('INÍCIO NA 2ª FEIRA CONTÍNUO'!M13,"AAAAAD21r3M=")</f>
        <v>#VALUE!</v>
      </c>
      <c r="DM4" t="e">
        <f>AND('INÍCIO NA 2ª FEIRA CONTÍNUO'!N13,"AAAAAD21r3Q=")</f>
        <v>#VALUE!</v>
      </c>
      <c r="DN4" t="e">
        <f>AND('INÍCIO NA 2ª FEIRA CONTÍNUO'!O13,"AAAAAD21r3U=")</f>
        <v>#VALUE!</v>
      </c>
      <c r="DO4">
        <f>IF('INÍCIO NA 2ª FEIRA CONTÍNUO'!14:14,"AAAAAD21r3Y=",0)</f>
        <v>0</v>
      </c>
      <c r="DP4">
        <f>IF('INÍCIO NA 2ª FEIRA CONTÍNUO'!15:15,"AAAAAD21r3c=",0)</f>
        <v>0</v>
      </c>
      <c r="DQ4">
        <f>IF('INÍCIO NA 2ª FEIRA CONTÍNUO'!16:16,"AAAAAD21r3g=",0)</f>
        <v>0</v>
      </c>
      <c r="DR4">
        <f>IF('INÍCIO NA 2ª FEIRA CONTÍNUO'!A:A,"AAAAAD21r3k=",0)</f>
        <v>0</v>
      </c>
      <c r="DS4" t="e">
        <f>IF('INÍCIO NA 2ª FEIRA CONTÍNUO'!B:B,"AAAAAD21r3o=",0)</f>
        <v>#VALUE!</v>
      </c>
      <c r="DT4">
        <f>IF('INÍCIO NA 2ª FEIRA CONTÍNUO'!C:C,"AAAAAD21r3s=",0)</f>
        <v>0</v>
      </c>
      <c r="DU4">
        <f>IF('INÍCIO NA 2ª FEIRA CONTÍNUO'!D:D,"AAAAAD21r3w=",0)</f>
        <v>0</v>
      </c>
      <c r="DV4">
        <f>IF('INÍCIO NA 2ª FEIRA CONTÍNUO'!E:E,"AAAAAD21r30=",0)</f>
        <v>0</v>
      </c>
      <c r="DW4">
        <f>IF('INÍCIO NA 2ª FEIRA CONTÍNUO'!F:F,"AAAAAD21r34=",0)</f>
        <v>0</v>
      </c>
      <c r="DX4">
        <f>IF('INÍCIO NA 2ª FEIRA CONTÍNUO'!G:G,"AAAAAD21r38=",0)</f>
        <v>0</v>
      </c>
      <c r="DY4">
        <f>IF('INÍCIO NA 2ª FEIRA CONTÍNUO'!H:H,"AAAAAD21r4A=",0)</f>
        <v>0</v>
      </c>
      <c r="DZ4">
        <f>IF('INÍCIO NA 2ª FEIRA CONTÍNUO'!I:I,"AAAAAD21r4E=",0)</f>
        <v>0</v>
      </c>
      <c r="EA4" t="e">
        <f>IF('INÍCIO NA 2ª FEIRA CONTÍNUO'!J:J,"AAAAAD21r4I=",0)</f>
        <v>#VALUE!</v>
      </c>
      <c r="EB4" t="str">
        <f>IF('INÍCIO NA 2ª FEIRA CONTÍNUO'!K:K,"AAAAAD21r4M=",0)</f>
        <v>AAAAAD21r4M=</v>
      </c>
      <c r="EC4">
        <f>IF('INÍCIO NA 2ª FEIRA CONTÍNUO'!L:L,"AAAAAD21r4Q=",0)</f>
        <v>0</v>
      </c>
      <c r="ED4">
        <f>IF('INÍCIO NA 2ª FEIRA CONTÍNUO'!M:M,"AAAAAD21r4U=",0)</f>
        <v>0</v>
      </c>
      <c r="EE4">
        <f>IF('INÍCIO NA 2ª FEIRA CONTÍNUO'!N:N,"AAAAAD21r4Y=",0)</f>
        <v>0</v>
      </c>
      <c r="EF4">
        <f>IF('INÍCIO NA 2ª FEIRA CONTÍNUO'!O:O,"AAAAAD21r4c=",0)</f>
        <v>0</v>
      </c>
      <c r="EG4" t="s">
        <v>16</v>
      </c>
    </row>
  </sheetData>
  <pageMargins left="0.511811024" right="0.511811024" top="0.78740157499999996" bottom="0.78740157499999996" header="0.31496062000000002" footer="0.31496062000000002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INÍCIO NO DOMINGO</vt:lpstr>
      <vt:lpstr>INÍCIO NO DOMINGO CONTÍNUO</vt:lpstr>
      <vt:lpstr>INÍCIO NA 2ª FEIRA</vt:lpstr>
      <vt:lpstr>INÍCIO NA 2ª FEIRA CONTÍNUO</vt:lpstr>
    </vt:vector>
  </TitlesOfParts>
  <Company>ExcelMax Soluções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</dc:creator>
  <cp:lastModifiedBy>HP</cp:lastModifiedBy>
  <dcterms:created xsi:type="dcterms:W3CDTF">2012-06-04T00:50:03Z</dcterms:created>
  <dcterms:modified xsi:type="dcterms:W3CDTF">2013-09-02T21:06:11Z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1TXfcw8Epv44viltetKCNj1dKBDhSWEPRsE3XoPeYf3g</vt:lpwstr>
  </property>
  <property fmtid="{D5CDD505-2E9C-101B-9397-08002B2CF9AE}" pid="4" name="Google.Documents.RevisionId">
    <vt:lpwstr>09352497391812206136</vt:lpwstr>
  </property>
  <property fmtid="{D5CDD505-2E9C-101B-9397-08002B2CF9AE}" pid="5" name="Google.Documents.PreviousRevisionId">
    <vt:lpwstr>12988875088832825416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